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7.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8.xml" ContentType="application/vnd.openxmlformats-officedocument.drawing+xml"/>
  <Override PartName="/xl/charts/chart22.xml" ContentType="application/vnd.openxmlformats-officedocument.drawingml.chart+xml"/>
  <Override PartName="/xl/comments13.xml" ContentType="application/vnd.openxmlformats-officedocument.spreadsheetml.comments+xml"/>
  <Override PartName="/xl/comments14.xml" ContentType="application/vnd.openxmlformats-officedocument.spreadsheetml.comments+xml"/>
  <Override PartName="/xl/drawings/drawing19.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C:\Users\vinicius.lampert.REPN-LAMPERT\Nextcloud\PROJETOS TRANSVERSAIS\GUSTAVO - Rede Leite\ARRANJO - Leite\AVANÇOS PSP\"/>
    </mc:Choice>
  </mc:AlternateContent>
  <workbookProtection workbookAlgorithmName="SHA-512" workbookHashValue="xlx1NgJ3HLg9Wk6WhCx5PJ5yAQaOA4IVaWS/y3sUPHiYiot56gNRfF2m35juaDA7DIreyU0t18p3kWghir35FQ==" workbookSaltValue="BN0Prgij7fiM0YtG/m8A0Q==" workbookSpinCount="100000" lockStructure="1"/>
  <bookViews>
    <workbookView xWindow="0" yWindow="0" windowWidth="20490" windowHeight="7155" tabRatio="919" firstSheet="1" activeTab="1"/>
  </bookViews>
  <sheets>
    <sheet name="correções atualiz" sheetId="58" state="hidden" r:id="rId1"/>
    <sheet name="Inicio NOVA PSP" sheetId="78" r:id="rId2"/>
    <sheet name="CADASTRO" sheetId="47" r:id="rId3"/>
    <sheet name="SOLO" sheetId="1" r:id="rId4"/>
    <sheet name="REBANHO" sheetId="2" r:id="rId5"/>
    <sheet name="ALIMENTAÇÃO" sheetId="74" r:id="rId6"/>
    <sheet name="PRODUÇÃO" sheetId="3" r:id="rId7"/>
    <sheet name="M.oBRA" sheetId="35" r:id="rId8"/>
    <sheet name="DESPESAS (Agr.)" sheetId="7" r:id="rId9"/>
    <sheet name="DESPESAS (Gado)" sheetId="8" r:id="rId10"/>
    <sheet name="INVESTIMENTOS" sheetId="75" r:id="rId11"/>
    <sheet name="OUTROS CUSTOS" sheetId="4" r:id="rId12"/>
    <sheet name="RESULTADOS" sheetId="70" r:id="rId13"/>
    <sheet name="RESUMO" sheetId="73" r:id="rId14"/>
    <sheet name="Vinicius" sheetId="118" state="hidden" r:id="rId15"/>
    <sheet name="F. resultad econ. glob. detalh" sheetId="5" state="hidden" r:id="rId16"/>
    <sheet name="auditorias 1" sheetId="62" state="hidden" r:id="rId17"/>
    <sheet name="A. DESPESAS (Outras)" sheetId="9" state="hidden" r:id="rId18"/>
    <sheet name="B. resultados tecnicos leite" sheetId="40" state="hidden" r:id="rId19"/>
    <sheet name="C. MÁQ." sheetId="6" state="hidden" r:id="rId20"/>
    <sheet name="D. INSTAL." sheetId="34" state="hidden" r:id="rId21"/>
    <sheet name="linha" sheetId="117" state="hidden" r:id="rId22"/>
    <sheet name="E. TOTAL" sheetId="41" state="hidden" r:id="rId23"/>
    <sheet name="G. RESULT. TEC.  AREA LEITE" sheetId="59" state="hidden" r:id="rId24"/>
    <sheet name="H. proces. caseiro alimentos" sheetId="10" state="hidden" r:id="rId25"/>
    <sheet name="resumo gastos CULTIVOS" sheetId="18" state="hidden" r:id="rId26"/>
    <sheet name="auditorias" sheetId="36" state="hidden" r:id="rId27"/>
    <sheet name="I. RESULTADO ECON. GLOBAL " sheetId="48" state="hidden" r:id="rId28"/>
    <sheet name="J. RESULTADO ECON. GERAL LEITE " sheetId="49" state="hidden" r:id="rId29"/>
    <sheet name="K. RESULTADOS ECON. LEITE" sheetId="51" state="hidden" r:id="rId30"/>
    <sheet name="RESULTADOS ECON. LEITE DETALHE" sheetId="56" state="hidden" r:id="rId31"/>
    <sheet name=" RESULT. DETALHE CUSTO LEITE" sheetId="39" state="hidden" r:id="rId32"/>
    <sheet name="Plan3" sheetId="60" state="hidden" r:id="rId33"/>
    <sheet name="RESULT. OUTROS." sheetId="54" state="hidden" r:id="rId34"/>
    <sheet name="Plan1" sheetId="55" state="hidden" r:id="rId35"/>
    <sheet name="RESUMO RESULTADO GERAL" sheetId="44" state="hidden" r:id="rId36"/>
    <sheet name="CALCULO PASTAGENS" sheetId="50" state="hidden" r:id="rId37"/>
    <sheet name="resultado rep Social" sheetId="37" state="hidden" r:id="rId38"/>
    <sheet name="RESULTADOS OUTRAS ATIV" sheetId="53" state="hidden" r:id="rId39"/>
    <sheet name="resultados RESUMO CUSTOS" sheetId="46" state="hidden" r:id="rId40"/>
    <sheet name="res. custo cultivo e criação  " sheetId="43" state="hidden" r:id="rId41"/>
    <sheet name="Plan2" sheetId="45" state="hidden" r:id="rId42"/>
    <sheet name="L. simulador preço" sheetId="61" state="hidden" r:id="rId43"/>
    <sheet name="Sugestão de indicadores" sheetId="64" state="hidden" r:id="rId44"/>
  </sheets>
  <definedNames>
    <definedName name="_xlnm.Print_Area" localSheetId="31">' RESULT. DETALHE CUSTO LEITE'!$B$1:$J$70</definedName>
    <definedName name="_xlnm.Print_Area" localSheetId="17">'A. DESPESAS (Outras)'!$A$1:$F$85</definedName>
    <definedName name="_xlnm.Print_Area" localSheetId="5">ALIMENTAÇÃO!$B$2:$P$72</definedName>
    <definedName name="_xlnm.Print_Area" localSheetId="26">auditorias!$B$2:$I$86</definedName>
    <definedName name="_xlnm.Print_Area" localSheetId="16">'auditorias 1'!$B$2:$L$73</definedName>
    <definedName name="_xlnm.Print_Area" localSheetId="18">'B. resultados tecnicos leite'!$B$23:$H$65</definedName>
    <definedName name="_xlnm.Print_Area" localSheetId="19">'C. MÁQ.'!$B$2:$Q$95</definedName>
    <definedName name="_xlnm.Print_Area" localSheetId="20">'D. INSTAL.'!$B$1:$M$46</definedName>
    <definedName name="_xlnm.Print_Area" localSheetId="8">'DESPESAS (Agr.)'!$C$2:$O$416</definedName>
    <definedName name="_xlnm.Print_Area" localSheetId="9">'DESPESAS (Gado)'!$B$2:$I$50</definedName>
    <definedName name="_xlnm.Print_Area" localSheetId="22">'E. TOTAL'!$A$1:$AP$9</definedName>
    <definedName name="_xlnm.Print_Area" localSheetId="15">'F. resultad econ. glob. detalh'!$A$1:$C$292</definedName>
    <definedName name="_xlnm.Print_Area" localSheetId="23">'G. RESULT. TEC.  AREA LEITE'!$A$2:$D$63</definedName>
    <definedName name="_xlnm.Print_Area" localSheetId="24">'H. proces. caseiro alimentos'!$B$1:$F$24</definedName>
    <definedName name="_xlnm.Print_Area" localSheetId="27">'I. RESULTADO ECON. GLOBAL '!$A$2:$U$89</definedName>
    <definedName name="_xlnm.Print_Area" localSheetId="1">'Inicio NOVA PSP'!$A$1:$M$19</definedName>
    <definedName name="_xlnm.Print_Area" localSheetId="10">INVESTIMENTOS!$B$2:$O$23</definedName>
    <definedName name="_xlnm.Print_Area" localSheetId="28">'J. RESULTADO ECON. GERAL LEITE '!$A$2:$O$83</definedName>
    <definedName name="_xlnm.Print_Area" localSheetId="29">'K. RESULTADOS ECON. LEITE'!$A$2:$C$55</definedName>
    <definedName name="_xlnm.Print_Area" localSheetId="7">M.oBRA!$B$2:$Q$44</definedName>
    <definedName name="_xlnm.Print_Area" localSheetId="11">'OUTROS CUSTOS'!$A$2:$Q$44</definedName>
    <definedName name="_xlnm.Print_Area" localSheetId="6">PRODUÇÃO!$B$2:$N$101</definedName>
    <definedName name="_xlnm.Print_Area" localSheetId="4">REBANHO!$B$2:$I$46</definedName>
    <definedName name="_xlnm.Print_Area" localSheetId="40">'res. custo cultivo e criação  '!$A$1:$D$226</definedName>
    <definedName name="_xlnm.Print_Area" localSheetId="33">'RESULT. OUTROS.'!$A$8:$F$32</definedName>
    <definedName name="_xlnm.Print_Area" localSheetId="30">'RESULTADOS ECON. LEITE DETALHE'!$A$2:$C$46</definedName>
    <definedName name="_xlnm.Print_Area" localSheetId="39">'resultados RESUMO CUSTOS'!$A$7:$I$26</definedName>
    <definedName name="_xlnm.Print_Area" localSheetId="35">'RESUMO RESULTADO GERAL'!$A$2:$K$28</definedName>
    <definedName name="_xlnm.Print_Area" localSheetId="3">SOLO!$C$2:$L$141</definedName>
  </definedNames>
  <calcPr calcId="152511"/>
</workbook>
</file>

<file path=xl/calcChain.xml><?xml version="1.0" encoding="utf-8"?>
<calcChain xmlns="http://schemas.openxmlformats.org/spreadsheetml/2006/main">
  <c r="G39" i="70" l="1"/>
  <c r="H28" i="70" s="1"/>
  <c r="G41" i="70"/>
  <c r="H26" i="70"/>
  <c r="E9" i="3" l="1"/>
  <c r="K22" i="1"/>
  <c r="F15" i="8" l="1"/>
  <c r="I29" i="8" l="1"/>
  <c r="H15" i="3" l="1"/>
  <c r="U14" i="3"/>
  <c r="V14" i="3"/>
  <c r="C14" i="47" l="1"/>
  <c r="M47" i="70" l="1"/>
  <c r="M49" i="70"/>
  <c r="M56" i="70"/>
  <c r="M60" i="70"/>
  <c r="M62" i="70"/>
  <c r="L45" i="70"/>
  <c r="O42" i="70"/>
  <c r="V11" i="3"/>
  <c r="U12" i="3"/>
  <c r="U10" i="3"/>
  <c r="U9" i="3"/>
  <c r="P8" i="74" l="1"/>
  <c r="F9" i="35" l="1"/>
  <c r="N14" i="3" l="1"/>
  <c r="H49" i="70" s="1"/>
  <c r="I34" i="8" l="1"/>
  <c r="G20" i="8"/>
  <c r="I138" i="7" l="1"/>
  <c r="I114" i="7"/>
  <c r="I90" i="7"/>
  <c r="I66" i="7"/>
  <c r="H42" i="7"/>
  <c r="E2" i="7" l="1"/>
  <c r="B2" i="7"/>
  <c r="B2" i="3"/>
  <c r="E2" i="74"/>
  <c r="B2" i="74"/>
  <c r="C2" i="1"/>
  <c r="C76" i="3" l="1"/>
  <c r="C11" i="74" l="1"/>
  <c r="B33" i="70" l="1"/>
  <c r="D43" i="73" s="1"/>
  <c r="C7" i="74"/>
  <c r="D7" i="74" s="1"/>
  <c r="E7" i="74" s="1"/>
  <c r="F7" i="74" s="1"/>
  <c r="G7" i="74" s="1"/>
  <c r="H7" i="74" s="1"/>
  <c r="I7" i="74" s="1"/>
  <c r="J7" i="74" s="1"/>
  <c r="K7" i="74" s="1"/>
  <c r="L7" i="74" s="1"/>
  <c r="M7" i="74" s="1"/>
  <c r="N7" i="74" s="1"/>
  <c r="N2" i="74"/>
  <c r="C7" i="2"/>
  <c r="K20" i="3" l="1"/>
  <c r="K21" i="3" l="1"/>
  <c r="K22" i="3"/>
  <c r="K19" i="3"/>
  <c r="C18" i="18" l="1"/>
  <c r="J117" i="1" l="1"/>
  <c r="J118" i="1"/>
  <c r="J116" i="1"/>
  <c r="Q20" i="3" l="1"/>
  <c r="Q21" i="3"/>
  <c r="Q22" i="3"/>
  <c r="Q23" i="3"/>
  <c r="Q19" i="3"/>
  <c r="I4" i="73"/>
  <c r="L2" i="4"/>
  <c r="H2" i="8"/>
  <c r="N2" i="75"/>
  <c r="E2" i="35"/>
  <c r="I2" i="3"/>
  <c r="G2" i="2"/>
  <c r="K2" i="1"/>
  <c r="L5" i="34"/>
  <c r="L5" i="6"/>
  <c r="C75" i="6" s="1"/>
  <c r="C94" i="6" s="1"/>
  <c r="A12" i="4" l="1"/>
  <c r="A11" i="4"/>
  <c r="B35" i="4" s="1"/>
  <c r="I27" i="73"/>
  <c r="B1" i="117"/>
  <c r="C39" i="3"/>
  <c r="C31" i="70" s="1"/>
  <c r="H37" i="70"/>
  <c r="F23" i="73" s="1"/>
  <c r="H22" i="70"/>
  <c r="W2" i="117" s="1"/>
  <c r="O9" i="74"/>
  <c r="H24" i="70" s="1"/>
  <c r="X2" i="117" s="1"/>
  <c r="P9" i="74"/>
  <c r="B43" i="74" s="1"/>
  <c r="G34" i="4"/>
  <c r="K76" i="3"/>
  <c r="G68" i="3"/>
  <c r="J68" i="3" s="1"/>
  <c r="G69" i="3"/>
  <c r="G70" i="3"/>
  <c r="J70" i="3" s="1"/>
  <c r="V75" i="3" s="1"/>
  <c r="J71" i="3"/>
  <c r="J72" i="3"/>
  <c r="J73" i="3"/>
  <c r="J74" i="3"/>
  <c r="I68" i="3"/>
  <c r="I69" i="3"/>
  <c r="I70" i="3"/>
  <c r="I71" i="3"/>
  <c r="I72" i="3"/>
  <c r="I73" i="3"/>
  <c r="I74" i="3"/>
  <c r="G71" i="3"/>
  <c r="G72" i="3"/>
  <c r="G73" i="3"/>
  <c r="G74" i="3"/>
  <c r="H69" i="3"/>
  <c r="AE69" i="3" s="1"/>
  <c r="B38" i="5" s="1"/>
  <c r="B15" i="56" s="1"/>
  <c r="H70" i="3"/>
  <c r="AE75" i="3" s="1"/>
  <c r="B39" i="5" s="1"/>
  <c r="B16" i="56" s="1"/>
  <c r="H71" i="3"/>
  <c r="H72" i="3"/>
  <c r="H73" i="3"/>
  <c r="H74" i="3"/>
  <c r="H68" i="3"/>
  <c r="AF68" i="3" s="1"/>
  <c r="D20" i="3"/>
  <c r="F20" i="3" s="1"/>
  <c r="D21" i="3"/>
  <c r="F21" i="3" s="1"/>
  <c r="D22" i="3"/>
  <c r="F22" i="3" s="1"/>
  <c r="D19" i="3"/>
  <c r="F19" i="3" s="1"/>
  <c r="R20" i="3"/>
  <c r="R21" i="3"/>
  <c r="R22" i="3"/>
  <c r="R19" i="3"/>
  <c r="R23" i="3"/>
  <c r="K112" i="1"/>
  <c r="J112" i="1"/>
  <c r="K115" i="1"/>
  <c r="J115" i="1"/>
  <c r="D115" i="1"/>
  <c r="E115" i="1"/>
  <c r="I43" i="1"/>
  <c r="C13" i="1"/>
  <c r="K23" i="1"/>
  <c r="K117" i="1" s="1"/>
  <c r="K24" i="1"/>
  <c r="K118" i="1" s="1"/>
  <c r="B27" i="3"/>
  <c r="D7" i="2"/>
  <c r="I159" i="7"/>
  <c r="F162" i="7" s="1"/>
  <c r="I182" i="7"/>
  <c r="I206" i="7"/>
  <c r="F216" i="7" s="1"/>
  <c r="M216" i="7" s="1"/>
  <c r="I230" i="7"/>
  <c r="F236" i="7" s="1"/>
  <c r="I251" i="7"/>
  <c r="I272" i="7"/>
  <c r="F282" i="7" s="1"/>
  <c r="M282" i="7" s="1"/>
  <c r="I293" i="7"/>
  <c r="F296" i="7" s="1"/>
  <c r="I316" i="7"/>
  <c r="F320" i="7" s="1"/>
  <c r="O75" i="6"/>
  <c r="G75" i="6"/>
  <c r="C9" i="3"/>
  <c r="L9" i="3" s="1"/>
  <c r="G9" i="3" s="1"/>
  <c r="H75" i="6"/>
  <c r="C10" i="3"/>
  <c r="L10" i="3" s="1"/>
  <c r="I75" i="6"/>
  <c r="C11" i="3"/>
  <c r="J75" i="6"/>
  <c r="C12" i="3"/>
  <c r="E12" i="3" s="1"/>
  <c r="K75" i="6"/>
  <c r="C13" i="3"/>
  <c r="E13" i="3" s="1"/>
  <c r="L75" i="6"/>
  <c r="M75" i="6"/>
  <c r="I337" i="7"/>
  <c r="F339" i="7" s="1"/>
  <c r="I362" i="7"/>
  <c r="F365" i="7" s="1"/>
  <c r="I365" i="7" s="1"/>
  <c r="B75" i="5"/>
  <c r="B100" i="5"/>
  <c r="B102" i="5" s="1"/>
  <c r="E5" i="44" s="1"/>
  <c r="B155" i="5"/>
  <c r="B157" i="5" s="1"/>
  <c r="G5" i="44" s="1"/>
  <c r="U13" i="3"/>
  <c r="G68" i="34"/>
  <c r="H68" i="34"/>
  <c r="I68" i="34"/>
  <c r="J68" i="34"/>
  <c r="K68" i="34"/>
  <c r="L68" i="34"/>
  <c r="M68" i="34"/>
  <c r="F32" i="35"/>
  <c r="M46" i="35" s="1"/>
  <c r="F33" i="35"/>
  <c r="G47" i="35"/>
  <c r="F34" i="35"/>
  <c r="G48" i="35"/>
  <c r="F35" i="35"/>
  <c r="G49" i="35"/>
  <c r="H47" i="35"/>
  <c r="H48" i="35"/>
  <c r="H49" i="35"/>
  <c r="I47" i="35"/>
  <c r="I48" i="35"/>
  <c r="I49" i="35"/>
  <c r="J47" i="35"/>
  <c r="J48" i="35"/>
  <c r="J49" i="35"/>
  <c r="K47" i="35"/>
  <c r="K48" i="35"/>
  <c r="K49" i="35"/>
  <c r="L48" i="35"/>
  <c r="L49" i="35"/>
  <c r="M48" i="35"/>
  <c r="M49" i="35"/>
  <c r="N47" i="35"/>
  <c r="N48" i="35"/>
  <c r="N49" i="35"/>
  <c r="O47" i="35"/>
  <c r="O48" i="35"/>
  <c r="O49" i="35"/>
  <c r="C48" i="35"/>
  <c r="C49" i="35"/>
  <c r="C68" i="34"/>
  <c r="B46" i="5"/>
  <c r="B23" i="56" s="1"/>
  <c r="G236" i="7"/>
  <c r="G222" i="7"/>
  <c r="F27" i="3"/>
  <c r="F28" i="3"/>
  <c r="F29" i="3"/>
  <c r="F30" i="3"/>
  <c r="F31" i="3"/>
  <c r="F32" i="3"/>
  <c r="F33" i="3"/>
  <c r="F34" i="3"/>
  <c r="F35" i="3"/>
  <c r="F36" i="3"/>
  <c r="F37" i="3"/>
  <c r="F38" i="3"/>
  <c r="N49" i="6"/>
  <c r="N48" i="6"/>
  <c r="I80" i="1"/>
  <c r="G80" i="1"/>
  <c r="I79" i="1"/>
  <c r="G79" i="1"/>
  <c r="I78" i="1"/>
  <c r="G78" i="1"/>
  <c r="N7" i="4"/>
  <c r="N32" i="4"/>
  <c r="N33" i="4"/>
  <c r="N34" i="4"/>
  <c r="N35" i="4"/>
  <c r="N36" i="4"/>
  <c r="N39" i="35"/>
  <c r="C11" i="18"/>
  <c r="C55" i="18" s="1"/>
  <c r="E40" i="18"/>
  <c r="E41" i="18"/>
  <c r="E42" i="18"/>
  <c r="E43" i="18"/>
  <c r="E44" i="18"/>
  <c r="C10" i="18"/>
  <c r="C54" i="18" s="1"/>
  <c r="I40" i="18"/>
  <c r="I41" i="18"/>
  <c r="I42" i="18"/>
  <c r="I43" i="18"/>
  <c r="I44" i="18"/>
  <c r="I388" i="7"/>
  <c r="D388" i="7"/>
  <c r="D26" i="7" s="1"/>
  <c r="G406" i="7"/>
  <c r="D362" i="7"/>
  <c r="C64" i="36" s="1"/>
  <c r="C101" i="36" s="1"/>
  <c r="B391" i="7"/>
  <c r="B392" i="7" s="1"/>
  <c r="B393" i="7" s="1"/>
  <c r="B394" i="7"/>
  <c r="B395" i="7" s="1"/>
  <c r="B396" i="7" s="1"/>
  <c r="B397" i="7" s="1"/>
  <c r="B398" i="7" s="1"/>
  <c r="B399" i="7" s="1"/>
  <c r="B400" i="7" s="1"/>
  <c r="B401" i="7" s="1"/>
  <c r="B402" i="7" s="1"/>
  <c r="B403" i="7" s="1"/>
  <c r="B404" i="7" s="1"/>
  <c r="B405" i="7" s="1"/>
  <c r="B406" i="7" s="1"/>
  <c r="B407" i="7" s="1"/>
  <c r="B408" i="7" s="1"/>
  <c r="G380" i="7"/>
  <c r="G355" i="7"/>
  <c r="G327" i="7"/>
  <c r="G304" i="7"/>
  <c r="G283" i="7"/>
  <c r="G257" i="7"/>
  <c r="G198" i="7"/>
  <c r="G175" i="7"/>
  <c r="G152" i="7"/>
  <c r="I154" i="7"/>
  <c r="I155" i="7"/>
  <c r="G128" i="7"/>
  <c r="G104" i="7"/>
  <c r="G80" i="7"/>
  <c r="G56" i="7"/>
  <c r="B21" i="3"/>
  <c r="B20" i="3"/>
  <c r="B25" i="51" s="1"/>
  <c r="B22" i="3"/>
  <c r="D206" i="7"/>
  <c r="C57" i="36" s="1"/>
  <c r="C94" i="36" s="1"/>
  <c r="D27" i="7"/>
  <c r="R92" i="3"/>
  <c r="R82" i="3"/>
  <c r="B204" i="5" s="1"/>
  <c r="D13" i="4"/>
  <c r="R83" i="3"/>
  <c r="R84" i="3"/>
  <c r="E13" i="4"/>
  <c r="R85" i="3"/>
  <c r="F13" i="4" s="1"/>
  <c r="E110" i="1"/>
  <c r="D110" i="1"/>
  <c r="D111" i="1"/>
  <c r="D11" i="74"/>
  <c r="E11" i="74"/>
  <c r="E12" i="74" s="1"/>
  <c r="F11" i="74"/>
  <c r="F12" i="74" s="1"/>
  <c r="G11" i="74"/>
  <c r="G12" i="74" s="1"/>
  <c r="H11" i="74"/>
  <c r="H12" i="74" s="1"/>
  <c r="I11" i="74"/>
  <c r="I12" i="74" s="1"/>
  <c r="J11" i="74"/>
  <c r="J12" i="74" s="1"/>
  <c r="K11" i="74"/>
  <c r="K12" i="74" s="1"/>
  <c r="L11" i="74"/>
  <c r="L12" i="74" s="1"/>
  <c r="M11" i="74"/>
  <c r="M12" i="74" s="1"/>
  <c r="N11" i="74"/>
  <c r="N12" i="74" s="1"/>
  <c r="O10" i="74"/>
  <c r="O8" i="74"/>
  <c r="F16" i="8"/>
  <c r="F17" i="8"/>
  <c r="F18" i="8"/>
  <c r="F19" i="8"/>
  <c r="J26" i="3"/>
  <c r="J27" i="3"/>
  <c r="J28" i="3"/>
  <c r="J29" i="3"/>
  <c r="J30" i="3"/>
  <c r="J31" i="3"/>
  <c r="J32" i="3"/>
  <c r="J33" i="3"/>
  <c r="J34" i="3"/>
  <c r="J35" i="3"/>
  <c r="J36" i="3"/>
  <c r="J25" i="3"/>
  <c r="G3" i="70"/>
  <c r="AJ1" i="117"/>
  <c r="AI1" i="117"/>
  <c r="AH1" i="117"/>
  <c r="AG1" i="117"/>
  <c r="AF1" i="117"/>
  <c r="AE1" i="117"/>
  <c r="AD1" i="117"/>
  <c r="AC1" i="117"/>
  <c r="AB1" i="117"/>
  <c r="AA1" i="117"/>
  <c r="Z1" i="117"/>
  <c r="Y1" i="117"/>
  <c r="X1" i="117"/>
  <c r="W1" i="117"/>
  <c r="V1" i="117"/>
  <c r="U1" i="117"/>
  <c r="R1" i="117"/>
  <c r="Q1" i="117"/>
  <c r="P1" i="117"/>
  <c r="O1" i="117"/>
  <c r="N1" i="117"/>
  <c r="M1" i="117"/>
  <c r="L1" i="117"/>
  <c r="K1" i="117"/>
  <c r="J1" i="117"/>
  <c r="I1" i="117"/>
  <c r="H1" i="117"/>
  <c r="G1" i="117"/>
  <c r="F1" i="117"/>
  <c r="E1" i="117"/>
  <c r="D1" i="117"/>
  <c r="C1" i="117"/>
  <c r="A1" i="117"/>
  <c r="H39" i="70"/>
  <c r="F24" i="73" s="1"/>
  <c r="C52" i="40"/>
  <c r="D52" i="40" s="1"/>
  <c r="E116" i="1"/>
  <c r="E114" i="1"/>
  <c r="D114" i="1"/>
  <c r="D116" i="1"/>
  <c r="B50" i="5"/>
  <c r="C23" i="39" s="1"/>
  <c r="E119" i="1"/>
  <c r="E118" i="1"/>
  <c r="E117" i="1"/>
  <c r="E113" i="1"/>
  <c r="E112" i="1"/>
  <c r="E111" i="1"/>
  <c r="D118" i="1"/>
  <c r="D119" i="1"/>
  <c r="D117" i="1"/>
  <c r="D113" i="1"/>
  <c r="D112" i="1"/>
  <c r="J110" i="1"/>
  <c r="K110" i="1"/>
  <c r="K111" i="1"/>
  <c r="J111" i="1"/>
  <c r="J113" i="1"/>
  <c r="K113" i="1"/>
  <c r="K114" i="1"/>
  <c r="J114" i="1"/>
  <c r="G38" i="2"/>
  <c r="E2" i="4"/>
  <c r="E2" i="8"/>
  <c r="B2" i="35"/>
  <c r="C2" i="35"/>
  <c r="C48" i="3"/>
  <c r="D48" i="3"/>
  <c r="F48" i="3"/>
  <c r="G48" i="3"/>
  <c r="C17" i="40"/>
  <c r="X4" i="41" s="1"/>
  <c r="D57" i="73"/>
  <c r="E10" i="73"/>
  <c r="E11" i="73"/>
  <c r="E9" i="73"/>
  <c r="T76" i="3"/>
  <c r="F2" i="3"/>
  <c r="C2" i="2"/>
  <c r="G2" i="1"/>
  <c r="M2" i="74"/>
  <c r="L2" i="74"/>
  <c r="D10" i="70"/>
  <c r="F2" i="117" s="1"/>
  <c r="B42" i="74"/>
  <c r="O9" i="75"/>
  <c r="O10" i="75"/>
  <c r="O11" i="75"/>
  <c r="O12" i="75"/>
  <c r="O8" i="75"/>
  <c r="C19" i="75"/>
  <c r="N13" i="75"/>
  <c r="M13" i="75"/>
  <c r="L13" i="75"/>
  <c r="K13" i="75"/>
  <c r="J13" i="75"/>
  <c r="I13" i="75"/>
  <c r="H13" i="75"/>
  <c r="G13" i="75"/>
  <c r="F13" i="75"/>
  <c r="E13" i="75"/>
  <c r="D13" i="75"/>
  <c r="C13" i="75"/>
  <c r="B2" i="75"/>
  <c r="C19" i="74"/>
  <c r="F54" i="73"/>
  <c r="E54" i="73"/>
  <c r="F53" i="73"/>
  <c r="E53" i="73"/>
  <c r="F52" i="73"/>
  <c r="E52" i="73"/>
  <c r="F51" i="73"/>
  <c r="E51" i="73"/>
  <c r="F50" i="73"/>
  <c r="E50" i="73"/>
  <c r="F49" i="73"/>
  <c r="E49" i="73"/>
  <c r="F48" i="73"/>
  <c r="E48" i="73"/>
  <c r="F47" i="73"/>
  <c r="E47" i="73"/>
  <c r="F46" i="73"/>
  <c r="E46" i="73"/>
  <c r="F45" i="73"/>
  <c r="E45" i="73"/>
  <c r="F44" i="73"/>
  <c r="E44" i="73"/>
  <c r="F43" i="73"/>
  <c r="E43" i="73"/>
  <c r="J18" i="73"/>
  <c r="I18" i="73"/>
  <c r="J17" i="73"/>
  <c r="I17" i="73"/>
  <c r="J16" i="73"/>
  <c r="I16" i="73"/>
  <c r="J15" i="73"/>
  <c r="I15" i="73"/>
  <c r="J14" i="73"/>
  <c r="I14" i="73"/>
  <c r="J13" i="73"/>
  <c r="I13" i="73"/>
  <c r="J12" i="73"/>
  <c r="I12" i="73"/>
  <c r="J11" i="73"/>
  <c r="I11" i="73"/>
  <c r="J10" i="73"/>
  <c r="I10" i="73"/>
  <c r="I9" i="73"/>
  <c r="H4" i="73"/>
  <c r="E4" i="73"/>
  <c r="E23" i="35"/>
  <c r="K26" i="3"/>
  <c r="K27" i="3"/>
  <c r="K28" i="3"/>
  <c r="K29" i="3"/>
  <c r="K30" i="3"/>
  <c r="K31" i="3"/>
  <c r="K32" i="3"/>
  <c r="K33" i="3"/>
  <c r="K34" i="3"/>
  <c r="K35" i="3"/>
  <c r="K36" i="3"/>
  <c r="B13" i="3"/>
  <c r="D136" i="7" s="1"/>
  <c r="B14" i="3"/>
  <c r="B12" i="3"/>
  <c r="E99" i="1" s="1"/>
  <c r="B10" i="3"/>
  <c r="B11" i="3"/>
  <c r="B9" i="3"/>
  <c r="E96" i="1" s="1"/>
  <c r="D34" i="70"/>
  <c r="D35" i="70"/>
  <c r="D36" i="70"/>
  <c r="D37" i="70"/>
  <c r="D38" i="70"/>
  <c r="D39" i="70"/>
  <c r="D40" i="70"/>
  <c r="D41" i="70"/>
  <c r="D42" i="70"/>
  <c r="D43" i="70"/>
  <c r="D44" i="70"/>
  <c r="D33" i="70"/>
  <c r="G9" i="70"/>
  <c r="H9" i="70"/>
  <c r="G10" i="70"/>
  <c r="H10" i="70"/>
  <c r="G11" i="70"/>
  <c r="H11" i="70"/>
  <c r="G12" i="70"/>
  <c r="H12" i="70"/>
  <c r="G13" i="70"/>
  <c r="H13" i="70"/>
  <c r="G14" i="70"/>
  <c r="H14" i="70"/>
  <c r="G15" i="70"/>
  <c r="H15" i="70"/>
  <c r="G16" i="70"/>
  <c r="H16" i="70"/>
  <c r="H8" i="70"/>
  <c r="T2" i="117" s="1"/>
  <c r="G8" i="70"/>
  <c r="G7" i="70"/>
  <c r="S1" i="117" s="1"/>
  <c r="D12" i="70"/>
  <c r="H2" i="117" s="1"/>
  <c r="D17" i="2"/>
  <c r="C17" i="2"/>
  <c r="O4" i="41" s="1"/>
  <c r="I9" i="2"/>
  <c r="I10" i="2"/>
  <c r="I11" i="2"/>
  <c r="I12" i="2"/>
  <c r="I13" i="2"/>
  <c r="I14" i="2"/>
  <c r="I15" i="2"/>
  <c r="I16" i="2"/>
  <c r="I8" i="2"/>
  <c r="H14" i="2"/>
  <c r="C41" i="40"/>
  <c r="C38" i="70"/>
  <c r="C42" i="70"/>
  <c r="C25" i="40"/>
  <c r="C43" i="40" s="1"/>
  <c r="K25" i="3"/>
  <c r="E3" i="70"/>
  <c r="B2" i="117" s="1"/>
  <c r="C3" i="70"/>
  <c r="A2" i="117" s="1"/>
  <c r="C44" i="70"/>
  <c r="C43" i="70"/>
  <c r="C41" i="70"/>
  <c r="C40" i="70"/>
  <c r="C39" i="70"/>
  <c r="C37" i="70"/>
  <c r="C36" i="70"/>
  <c r="C35" i="70"/>
  <c r="C34" i="70"/>
  <c r="C33" i="70"/>
  <c r="BJ4" i="41"/>
  <c r="P4" i="41"/>
  <c r="H4" i="41"/>
  <c r="V31" i="3"/>
  <c r="S17" i="48"/>
  <c r="S16" i="48"/>
  <c r="E9" i="6"/>
  <c r="H9" i="6"/>
  <c r="E8" i="6"/>
  <c r="H8" i="6"/>
  <c r="I53" i="6" s="1"/>
  <c r="E7" i="6"/>
  <c r="H7" i="6"/>
  <c r="E6" i="6"/>
  <c r="H6" i="6"/>
  <c r="E5" i="6"/>
  <c r="H5" i="6"/>
  <c r="J85" i="6"/>
  <c r="J84" i="6"/>
  <c r="J83" i="6"/>
  <c r="J82" i="6"/>
  <c r="J81" i="6"/>
  <c r="J80" i="6"/>
  <c r="F9" i="34"/>
  <c r="H52" i="34"/>
  <c r="F8" i="34"/>
  <c r="F7" i="34"/>
  <c r="F6" i="34"/>
  <c r="F5" i="34"/>
  <c r="J79" i="34"/>
  <c r="J84" i="34"/>
  <c r="J83" i="34"/>
  <c r="J82" i="34"/>
  <c r="J81" i="34"/>
  <c r="J80" i="34"/>
  <c r="J32" i="4"/>
  <c r="J33" i="4"/>
  <c r="J34" i="4"/>
  <c r="J35" i="4"/>
  <c r="J36" i="4"/>
  <c r="F11" i="34"/>
  <c r="F10" i="34"/>
  <c r="H53" i="34" s="1"/>
  <c r="J50" i="34"/>
  <c r="F18" i="34"/>
  <c r="F17" i="34"/>
  <c r="H11" i="6"/>
  <c r="C56" i="6" s="1"/>
  <c r="H10" i="6"/>
  <c r="K85" i="6"/>
  <c r="K84" i="6"/>
  <c r="K83" i="6"/>
  <c r="K82" i="6"/>
  <c r="K81" i="6"/>
  <c r="K80" i="6"/>
  <c r="K79" i="34"/>
  <c r="K84" i="34"/>
  <c r="K83" i="34"/>
  <c r="K82" i="34"/>
  <c r="K81" i="34"/>
  <c r="K80" i="34"/>
  <c r="K32" i="4"/>
  <c r="K33" i="4"/>
  <c r="K34" i="4"/>
  <c r="K35" i="4"/>
  <c r="K36" i="4"/>
  <c r="K52" i="34"/>
  <c r="H82" i="6"/>
  <c r="H81" i="6"/>
  <c r="H80" i="6"/>
  <c r="H85" i="6"/>
  <c r="H84" i="6"/>
  <c r="H83" i="6"/>
  <c r="H32" i="4"/>
  <c r="H33" i="4"/>
  <c r="H34" i="4"/>
  <c r="H35" i="4"/>
  <c r="H36" i="4"/>
  <c r="H79" i="34"/>
  <c r="H84" i="34"/>
  <c r="H83" i="34"/>
  <c r="H82" i="34"/>
  <c r="H81" i="34"/>
  <c r="H80" i="34"/>
  <c r="G82" i="6"/>
  <c r="G81" i="6"/>
  <c r="G80" i="6"/>
  <c r="G85" i="6"/>
  <c r="G84" i="6"/>
  <c r="G83" i="6"/>
  <c r="G32" i="4"/>
  <c r="G33" i="4"/>
  <c r="G35" i="4"/>
  <c r="G36" i="4"/>
  <c r="G79" i="34"/>
  <c r="G84" i="34"/>
  <c r="G83" i="34"/>
  <c r="G82" i="34"/>
  <c r="G81" i="34"/>
  <c r="G80" i="34"/>
  <c r="N17" i="48"/>
  <c r="N16" i="48"/>
  <c r="I25" i="8"/>
  <c r="F23" i="9"/>
  <c r="F24" i="9"/>
  <c r="F52" i="9"/>
  <c r="F6" i="10"/>
  <c r="F7" i="10"/>
  <c r="F8" i="10"/>
  <c r="F15" i="10"/>
  <c r="F16" i="10"/>
  <c r="F17" i="10"/>
  <c r="B235" i="5"/>
  <c r="R91" i="3"/>
  <c r="B31" i="5"/>
  <c r="S82" i="3"/>
  <c r="B205" i="5"/>
  <c r="S83" i="3"/>
  <c r="S84" i="3"/>
  <c r="S85" i="3"/>
  <c r="B268" i="5"/>
  <c r="S91" i="3"/>
  <c r="F82" i="6"/>
  <c r="F81" i="6"/>
  <c r="F80" i="6"/>
  <c r="F85" i="6"/>
  <c r="F84" i="6"/>
  <c r="F83" i="6"/>
  <c r="I85" i="6"/>
  <c r="I84" i="6"/>
  <c r="I83" i="6"/>
  <c r="I82" i="6"/>
  <c r="I81" i="6"/>
  <c r="I80" i="6"/>
  <c r="I34" i="4"/>
  <c r="I35" i="4"/>
  <c r="I36" i="4"/>
  <c r="I32" i="4"/>
  <c r="I33" i="4"/>
  <c r="I79" i="34"/>
  <c r="I84" i="34"/>
  <c r="I83" i="34"/>
  <c r="I82" i="34"/>
  <c r="I81" i="34"/>
  <c r="I80" i="34"/>
  <c r="F34" i="4"/>
  <c r="F35" i="4"/>
  <c r="F36" i="4"/>
  <c r="F32" i="4"/>
  <c r="F33" i="4"/>
  <c r="F79" i="34"/>
  <c r="F84" i="34"/>
  <c r="F83" i="34"/>
  <c r="F82" i="34"/>
  <c r="F81" i="34"/>
  <c r="F80" i="34"/>
  <c r="E82" i="6"/>
  <c r="E81" i="6"/>
  <c r="E80" i="6"/>
  <c r="E85" i="6"/>
  <c r="E84" i="6"/>
  <c r="E83" i="6"/>
  <c r="G42" i="18"/>
  <c r="E34" i="4"/>
  <c r="E35" i="4"/>
  <c r="E36" i="4"/>
  <c r="E32" i="4"/>
  <c r="E33" i="4"/>
  <c r="E79" i="34"/>
  <c r="E84" i="34"/>
  <c r="E83" i="34"/>
  <c r="E82" i="34"/>
  <c r="E81" i="34"/>
  <c r="E80" i="34"/>
  <c r="D82" i="6"/>
  <c r="D81" i="6"/>
  <c r="D80" i="6"/>
  <c r="D85" i="6"/>
  <c r="D84" i="6"/>
  <c r="D83" i="6"/>
  <c r="F43" i="18"/>
  <c r="F42" i="18"/>
  <c r="F41" i="18"/>
  <c r="D34" i="4"/>
  <c r="D35" i="4"/>
  <c r="D36" i="4"/>
  <c r="D32" i="4"/>
  <c r="D33" i="4"/>
  <c r="D79" i="34"/>
  <c r="D84" i="34"/>
  <c r="D83" i="34"/>
  <c r="D82" i="34"/>
  <c r="D81" i="34"/>
  <c r="D80" i="34"/>
  <c r="C82" i="6"/>
  <c r="C81" i="6"/>
  <c r="C80" i="6"/>
  <c r="C85" i="6"/>
  <c r="C84" i="6"/>
  <c r="C83" i="6"/>
  <c r="O85" i="6"/>
  <c r="O84" i="6"/>
  <c r="O83" i="6"/>
  <c r="O82" i="6"/>
  <c r="O81" i="6"/>
  <c r="O80" i="6"/>
  <c r="O34" i="4"/>
  <c r="O35" i="4"/>
  <c r="O36" i="4"/>
  <c r="O32" i="4"/>
  <c r="O33" i="4"/>
  <c r="M85" i="6"/>
  <c r="M84" i="6"/>
  <c r="M83" i="6"/>
  <c r="M82" i="6"/>
  <c r="M81" i="6"/>
  <c r="M80" i="6"/>
  <c r="L85" i="6"/>
  <c r="L84" i="6"/>
  <c r="L83" i="6"/>
  <c r="L82" i="6"/>
  <c r="L81" i="6"/>
  <c r="L80" i="6"/>
  <c r="M34" i="4"/>
  <c r="M35" i="4"/>
  <c r="M36" i="4"/>
  <c r="M32" i="4"/>
  <c r="M33" i="4"/>
  <c r="L34" i="4"/>
  <c r="L35" i="4"/>
  <c r="L36" i="4"/>
  <c r="L32" i="4"/>
  <c r="L33" i="4"/>
  <c r="M79" i="34"/>
  <c r="M84" i="34"/>
  <c r="M83" i="34"/>
  <c r="M82" i="34"/>
  <c r="M81" i="34"/>
  <c r="M80" i="34"/>
  <c r="L79" i="34"/>
  <c r="L84" i="34"/>
  <c r="L83" i="34"/>
  <c r="L82" i="34"/>
  <c r="L81" i="34"/>
  <c r="L80" i="34"/>
  <c r="C34" i="4"/>
  <c r="C35" i="4"/>
  <c r="C36" i="4"/>
  <c r="C32" i="4"/>
  <c r="C33" i="4"/>
  <c r="B49" i="5"/>
  <c r="C79" i="34"/>
  <c r="C84" i="34"/>
  <c r="C83" i="34"/>
  <c r="C82" i="34"/>
  <c r="C81" i="34"/>
  <c r="C80" i="34"/>
  <c r="C55" i="6"/>
  <c r="E55" i="6"/>
  <c r="M50" i="34"/>
  <c r="B365" i="7"/>
  <c r="B366" i="7" s="1"/>
  <c r="B367" i="7" s="1"/>
  <c r="B368" i="7"/>
  <c r="B369" i="7" s="1"/>
  <c r="B370" i="7" s="1"/>
  <c r="B371" i="7" s="1"/>
  <c r="B372" i="7" s="1"/>
  <c r="B373" i="7" s="1"/>
  <c r="B374" i="7" s="1"/>
  <c r="B375" i="7" s="1"/>
  <c r="B376" i="7" s="1"/>
  <c r="B377" i="7" s="1"/>
  <c r="B378" i="7" s="1"/>
  <c r="B379" i="7" s="1"/>
  <c r="B380" i="7" s="1"/>
  <c r="B381" i="7" s="1"/>
  <c r="B382" i="7" s="1"/>
  <c r="B340" i="7"/>
  <c r="B341" i="7"/>
  <c r="B342" i="7"/>
  <c r="B343" i="7" s="1"/>
  <c r="B344" i="7" s="1"/>
  <c r="B345" i="7" s="1"/>
  <c r="B346" i="7" s="1"/>
  <c r="B347" i="7" s="1"/>
  <c r="B348" i="7" s="1"/>
  <c r="B349" i="7" s="1"/>
  <c r="B350" i="7" s="1"/>
  <c r="B351" i="7" s="1"/>
  <c r="B352" i="7" s="1"/>
  <c r="B353" i="7" s="1"/>
  <c r="B354" i="7" s="1"/>
  <c r="B355" i="7" s="1"/>
  <c r="B356" i="7" s="1"/>
  <c r="B357" i="7" s="1"/>
  <c r="B209" i="7"/>
  <c r="B210" i="7" s="1"/>
  <c r="B211" i="7" s="1"/>
  <c r="B212" i="7" s="1"/>
  <c r="B213" i="7" s="1"/>
  <c r="B214" i="7" s="1"/>
  <c r="B215" i="7" s="1"/>
  <c r="B216" i="7" s="1"/>
  <c r="B217" i="7" s="1"/>
  <c r="B218" i="7" s="1"/>
  <c r="B219" i="7" s="1"/>
  <c r="B185" i="7"/>
  <c r="B186" i="7" s="1"/>
  <c r="B187" i="7" s="1"/>
  <c r="B188" i="7" s="1"/>
  <c r="B189" i="7" s="1"/>
  <c r="B190" i="7" s="1"/>
  <c r="B191" i="7" s="1"/>
  <c r="B192" i="7" s="1"/>
  <c r="B193" i="7" s="1"/>
  <c r="B194" i="7" s="1"/>
  <c r="B195" i="7" s="1"/>
  <c r="B196" i="7" s="1"/>
  <c r="B197" i="7" s="1"/>
  <c r="B198" i="7" s="1"/>
  <c r="B199" i="7" s="1"/>
  <c r="B200" i="7" s="1"/>
  <c r="B201" i="7" s="1"/>
  <c r="B162" i="7"/>
  <c r="B163" i="7"/>
  <c r="B164" i="7" s="1"/>
  <c r="B165" i="7" s="1"/>
  <c r="B166" i="7" s="1"/>
  <c r="B167" i="7" s="1"/>
  <c r="B168" i="7" s="1"/>
  <c r="B169" i="7" s="1"/>
  <c r="B170" i="7" s="1"/>
  <c r="B171" i="7" s="1"/>
  <c r="B172" i="7" s="1"/>
  <c r="B173" i="7" s="1"/>
  <c r="B174" i="7" s="1"/>
  <c r="B175" i="7" s="1"/>
  <c r="B176" i="7" s="1"/>
  <c r="B177" i="7" s="1"/>
  <c r="B178" i="7" s="1"/>
  <c r="B139" i="7"/>
  <c r="B140" i="7" s="1"/>
  <c r="B141" i="7" s="1"/>
  <c r="B142" i="7" s="1"/>
  <c r="B143" i="7" s="1"/>
  <c r="B144" i="7" s="1"/>
  <c r="B145" i="7" s="1"/>
  <c r="B146" i="7" s="1"/>
  <c r="B147" i="7" s="1"/>
  <c r="B148" i="7" s="1"/>
  <c r="B149" i="7" s="1"/>
  <c r="B150" i="7" s="1"/>
  <c r="B151" i="7" s="1"/>
  <c r="B152" i="7" s="1"/>
  <c r="B153" i="7" s="1"/>
  <c r="B154" i="7" s="1"/>
  <c r="B155" i="7" s="1"/>
  <c r="B115" i="7"/>
  <c r="B116" i="7"/>
  <c r="B117" i="7" s="1"/>
  <c r="B118" i="7" s="1"/>
  <c r="B119" i="7" s="1"/>
  <c r="B120" i="7" s="1"/>
  <c r="B121" i="7" s="1"/>
  <c r="B122" i="7" s="1"/>
  <c r="B123" i="7" s="1"/>
  <c r="B124" i="7" s="1"/>
  <c r="B125" i="7" s="1"/>
  <c r="B126" i="7" s="1"/>
  <c r="B127" i="7" s="1"/>
  <c r="B128" i="7" s="1"/>
  <c r="B129" i="7" s="1"/>
  <c r="B130" i="7" s="1"/>
  <c r="B131" i="7" s="1"/>
  <c r="B91" i="7"/>
  <c r="B92" i="7" s="1"/>
  <c r="B93" i="7" s="1"/>
  <c r="B94" i="7"/>
  <c r="B95" i="7" s="1"/>
  <c r="B96" i="7" s="1"/>
  <c r="B97" i="7" s="1"/>
  <c r="B98" i="7" s="1"/>
  <c r="B99" i="7" s="1"/>
  <c r="B100" i="7" s="1"/>
  <c r="B101" i="7" s="1"/>
  <c r="B102" i="7" s="1"/>
  <c r="B103" i="7" s="1"/>
  <c r="B104" i="7" s="1"/>
  <c r="B67" i="7"/>
  <c r="B68" i="7"/>
  <c r="B69" i="7"/>
  <c r="B70" i="7" s="1"/>
  <c r="B71" i="7" s="1"/>
  <c r="B72" i="7" s="1"/>
  <c r="B73" i="7" s="1"/>
  <c r="B74" i="7" s="1"/>
  <c r="B75" i="7" s="1"/>
  <c r="B76" i="7" s="1"/>
  <c r="B77" i="7"/>
  <c r="B78" i="7" s="1"/>
  <c r="B79" i="7" s="1"/>
  <c r="B80" i="7" s="1"/>
  <c r="B81" i="7" s="1"/>
  <c r="B82" i="7" s="1"/>
  <c r="B83" i="7" s="1"/>
  <c r="B43" i="7"/>
  <c r="B44" i="7" s="1"/>
  <c r="B45" i="7" s="1"/>
  <c r="B46" i="7" s="1"/>
  <c r="B47" i="7" s="1"/>
  <c r="B48" i="7" s="1"/>
  <c r="B49" i="7" s="1"/>
  <c r="B50" i="7" s="1"/>
  <c r="B51" i="7" s="1"/>
  <c r="B52" i="7" s="1"/>
  <c r="B53" i="7" s="1"/>
  <c r="B54" i="7" s="1"/>
  <c r="B55" i="7" s="1"/>
  <c r="B56" i="7" s="1"/>
  <c r="B57" i="7" s="1"/>
  <c r="B58" i="7" s="1"/>
  <c r="B59" i="7" s="1"/>
  <c r="B40" i="34"/>
  <c r="B60" i="34" s="1"/>
  <c r="B80" i="34" s="1"/>
  <c r="B44" i="34"/>
  <c r="B64" i="34"/>
  <c r="B84" i="34" s="1"/>
  <c r="F22" i="34"/>
  <c r="N43" i="34"/>
  <c r="N44" i="34"/>
  <c r="N40" i="34"/>
  <c r="O40" i="34" s="1"/>
  <c r="N41" i="34"/>
  <c r="N42" i="34"/>
  <c r="F19" i="34"/>
  <c r="F20" i="34"/>
  <c r="F21" i="34"/>
  <c r="B42" i="34"/>
  <c r="B62" i="34" s="1"/>
  <c r="B82" i="34" s="1"/>
  <c r="B43" i="34"/>
  <c r="B63" i="34"/>
  <c r="B83" i="34" s="1"/>
  <c r="B41" i="34"/>
  <c r="B61" i="34"/>
  <c r="B81" i="34"/>
  <c r="D28" i="6"/>
  <c r="E16" i="36" s="1"/>
  <c r="E28" i="6"/>
  <c r="G39" i="18" s="1"/>
  <c r="F28" i="6"/>
  <c r="F26" i="34" s="1"/>
  <c r="F38" i="34" s="1"/>
  <c r="H18" i="34"/>
  <c r="H19" i="34"/>
  <c r="H20" i="34"/>
  <c r="H21" i="34"/>
  <c r="H22" i="34"/>
  <c r="H6" i="34"/>
  <c r="H7" i="34"/>
  <c r="H8" i="34"/>
  <c r="H9" i="34"/>
  <c r="H10" i="34"/>
  <c r="H11" i="34"/>
  <c r="H12" i="34"/>
  <c r="H13" i="34"/>
  <c r="H14" i="34"/>
  <c r="H17" i="34"/>
  <c r="F12" i="34"/>
  <c r="F13" i="34"/>
  <c r="M56" i="34" s="1"/>
  <c r="F14" i="34"/>
  <c r="H12" i="6"/>
  <c r="H13" i="6"/>
  <c r="H14" i="6"/>
  <c r="I59" i="6" s="1"/>
  <c r="H15" i="6"/>
  <c r="H16" i="6"/>
  <c r="H17" i="6"/>
  <c r="H18" i="6"/>
  <c r="H19" i="6"/>
  <c r="H20" i="6"/>
  <c r="H21" i="6"/>
  <c r="H66" i="6"/>
  <c r="H22" i="6"/>
  <c r="H23" i="6"/>
  <c r="G44" i="18"/>
  <c r="G43" i="18"/>
  <c r="G41" i="18"/>
  <c r="G40" i="18"/>
  <c r="F44" i="18"/>
  <c r="F40" i="18"/>
  <c r="D78" i="36"/>
  <c r="C57" i="62" s="1"/>
  <c r="D77" i="36"/>
  <c r="C56" i="62" s="1"/>
  <c r="C166" i="36"/>
  <c r="D76" i="36" s="1"/>
  <c r="D75" i="36"/>
  <c r="E75" i="36" s="1"/>
  <c r="D54" i="62" s="1"/>
  <c r="D73" i="36"/>
  <c r="E73" i="36" s="1"/>
  <c r="D52" i="62" s="1"/>
  <c r="D72" i="36"/>
  <c r="C51" i="62" s="1"/>
  <c r="D71" i="36"/>
  <c r="D70" i="36"/>
  <c r="E70" i="36" s="1"/>
  <c r="D49" i="62" s="1"/>
  <c r="H17" i="36"/>
  <c r="H18" i="36"/>
  <c r="H19" i="36"/>
  <c r="H20" i="36"/>
  <c r="H21" i="36"/>
  <c r="F42" i="7"/>
  <c r="N42" i="7" s="1"/>
  <c r="F66" i="7"/>
  <c r="N66" i="7" s="1"/>
  <c r="F90" i="7"/>
  <c r="O90" i="7" s="1"/>
  <c r="F114" i="7"/>
  <c r="F138" i="7"/>
  <c r="C21" i="36"/>
  <c r="D21" i="36"/>
  <c r="E21" i="36"/>
  <c r="F21" i="36"/>
  <c r="G21" i="36"/>
  <c r="C20" i="36"/>
  <c r="D20" i="36"/>
  <c r="E20" i="36"/>
  <c r="F20" i="36"/>
  <c r="G20" i="36"/>
  <c r="C19" i="36"/>
  <c r="D19" i="36"/>
  <c r="E19" i="36"/>
  <c r="F19" i="36"/>
  <c r="G19" i="36"/>
  <c r="C18" i="36"/>
  <c r="D18" i="36"/>
  <c r="E18" i="36"/>
  <c r="F18" i="36"/>
  <c r="G18" i="36"/>
  <c r="C17" i="36"/>
  <c r="D17" i="36"/>
  <c r="E17" i="36"/>
  <c r="F17" i="36"/>
  <c r="G17" i="36"/>
  <c r="B15" i="62"/>
  <c r="B16" i="62" s="1"/>
  <c r="B17" i="62" s="1"/>
  <c r="B18" i="62" s="1"/>
  <c r="B19" i="62" s="1"/>
  <c r="B20" i="62" s="1"/>
  <c r="B21" i="62" s="1"/>
  <c r="B22" i="62" s="1"/>
  <c r="B23" i="62" s="1"/>
  <c r="B24" i="62" s="1"/>
  <c r="B25" i="62" s="1"/>
  <c r="B26" i="62" s="1"/>
  <c r="B27" i="62" s="1"/>
  <c r="B28" i="62" s="1"/>
  <c r="B29" i="62" s="1"/>
  <c r="B30" i="62" s="1"/>
  <c r="B31" i="62" s="1"/>
  <c r="B32" i="62" s="1"/>
  <c r="B33" i="62" s="1"/>
  <c r="B34" i="62" s="1"/>
  <c r="B35" i="62" s="1"/>
  <c r="B36" i="62" s="1"/>
  <c r="B37" i="62" s="1"/>
  <c r="B38" i="62" s="1"/>
  <c r="B39" i="62" s="1"/>
  <c r="B40" i="62" s="1"/>
  <c r="B41" i="62" s="1"/>
  <c r="B42" i="62" s="1"/>
  <c r="B43" i="62" s="1"/>
  <c r="B44" i="62" s="1"/>
  <c r="B45" i="62" s="1"/>
  <c r="B46" i="62" s="1"/>
  <c r="B47" i="62" s="1"/>
  <c r="B48" i="62" s="1"/>
  <c r="B49" i="62" s="1"/>
  <c r="B50" i="62" s="1"/>
  <c r="B51" i="62" s="1"/>
  <c r="B52" i="62" s="1"/>
  <c r="B53" i="62" s="1"/>
  <c r="B54" i="62" s="1"/>
  <c r="B55" i="62" s="1"/>
  <c r="B56" i="62" s="1"/>
  <c r="B57" i="62" s="1"/>
  <c r="B58" i="62" s="1"/>
  <c r="B59" i="62" s="1"/>
  <c r="B60" i="62" s="1"/>
  <c r="B61" i="62" s="1"/>
  <c r="B62" i="62" s="1"/>
  <c r="B63" i="62" s="1"/>
  <c r="B64" i="62" s="1"/>
  <c r="B65" i="62" s="1"/>
  <c r="B66" i="62" s="1"/>
  <c r="B67" i="62" s="1"/>
  <c r="B68" i="62" s="1"/>
  <c r="B69" i="62" s="1"/>
  <c r="B70" i="62" s="1"/>
  <c r="B71" i="62" s="1"/>
  <c r="B72" i="62" s="1"/>
  <c r="B73" i="62" s="1"/>
  <c r="P40" i="35"/>
  <c r="P42" i="35"/>
  <c r="C76" i="36"/>
  <c r="D159" i="7"/>
  <c r="C55" i="36" s="1"/>
  <c r="C92" i="36" s="1"/>
  <c r="D182" i="7"/>
  <c r="C56" i="36" s="1"/>
  <c r="C93" i="36" s="1"/>
  <c r="D230" i="7"/>
  <c r="C58" i="36" s="1"/>
  <c r="C95" i="36" s="1"/>
  <c r="D251" i="7"/>
  <c r="D20" i="7" s="1"/>
  <c r="D272" i="7"/>
  <c r="C60" i="36" s="1"/>
  <c r="C97" i="36" s="1"/>
  <c r="D293" i="7"/>
  <c r="C61" i="36" s="1"/>
  <c r="C98" i="36" s="1"/>
  <c r="D316" i="7"/>
  <c r="D23" i="7" s="1"/>
  <c r="D337" i="7"/>
  <c r="C25" i="18" s="1"/>
  <c r="A4" i="41"/>
  <c r="B4" i="41"/>
  <c r="I4" i="41"/>
  <c r="G98" i="1"/>
  <c r="J98" i="1"/>
  <c r="G97" i="1"/>
  <c r="J97" i="1"/>
  <c r="G96" i="1"/>
  <c r="J96" i="1"/>
  <c r="B8" i="59"/>
  <c r="M4" i="41" s="1"/>
  <c r="B9" i="59"/>
  <c r="G100" i="1"/>
  <c r="J100" i="1"/>
  <c r="G99" i="1"/>
  <c r="J99" i="1"/>
  <c r="C7" i="59"/>
  <c r="C9" i="59"/>
  <c r="B6" i="40"/>
  <c r="C6" i="40" s="1"/>
  <c r="B7" i="40"/>
  <c r="C5" i="40"/>
  <c r="C8" i="50" s="1"/>
  <c r="C7" i="40"/>
  <c r="F5" i="39"/>
  <c r="F7" i="39"/>
  <c r="E12" i="8"/>
  <c r="C26" i="40"/>
  <c r="BU4" i="41"/>
  <c r="C2" i="61"/>
  <c r="D2" i="61"/>
  <c r="B3" i="61"/>
  <c r="O1" i="45"/>
  <c r="O3" i="45"/>
  <c r="O4" i="45"/>
  <c r="O5" i="45"/>
  <c r="C6" i="45"/>
  <c r="D6" i="45"/>
  <c r="E6" i="45"/>
  <c r="F6" i="45"/>
  <c r="G6" i="45"/>
  <c r="H6" i="45"/>
  <c r="I6" i="45"/>
  <c r="J6" i="45"/>
  <c r="K6" i="45"/>
  <c r="L6" i="45"/>
  <c r="M6" i="45"/>
  <c r="N6" i="45"/>
  <c r="O9" i="45"/>
  <c r="O11" i="45"/>
  <c r="O12" i="45"/>
  <c r="O13" i="45"/>
  <c r="C14" i="45"/>
  <c r="D14" i="45"/>
  <c r="E14" i="45"/>
  <c r="O14" i="45" s="1"/>
  <c r="O15" i="45" s="1"/>
  <c r="F14" i="45"/>
  <c r="G14" i="45"/>
  <c r="H14" i="45"/>
  <c r="I14" i="45"/>
  <c r="J14" i="45"/>
  <c r="K14" i="45"/>
  <c r="L14" i="45"/>
  <c r="M14" i="45"/>
  <c r="N14" i="45"/>
  <c r="A2" i="43"/>
  <c r="B2" i="43"/>
  <c r="I88" i="1"/>
  <c r="J90" i="1"/>
  <c r="C139" i="43"/>
  <c r="C161" i="43"/>
  <c r="C166" i="43"/>
  <c r="C191" i="43"/>
  <c r="C196" i="43"/>
  <c r="C219" i="43"/>
  <c r="A1" i="46"/>
  <c r="B1" i="46"/>
  <c r="A17" i="46"/>
  <c r="A22" i="54" s="1"/>
  <c r="A18" i="46"/>
  <c r="A23" i="54" s="1"/>
  <c r="B201" i="5"/>
  <c r="B232" i="5"/>
  <c r="J4" i="44"/>
  <c r="J2" i="54" s="1"/>
  <c r="A16" i="54" s="1"/>
  <c r="B264" i="5"/>
  <c r="K4" i="44" s="1"/>
  <c r="K20" i="48" s="1"/>
  <c r="E33" i="37"/>
  <c r="D39" i="37"/>
  <c r="D40" i="37"/>
  <c r="B5" i="50"/>
  <c r="P5" i="50"/>
  <c r="B6" i="50"/>
  <c r="P6" i="50"/>
  <c r="P8" i="50"/>
  <c r="P9" i="50"/>
  <c r="Q9" i="50" s="1"/>
  <c r="Q10" i="50"/>
  <c r="Q11" i="50"/>
  <c r="Q12" i="50"/>
  <c r="Q13" i="50"/>
  <c r="Q14" i="50"/>
  <c r="D16" i="50"/>
  <c r="E16" i="50"/>
  <c r="F16" i="50"/>
  <c r="G16" i="50"/>
  <c r="H16" i="50"/>
  <c r="I16" i="50"/>
  <c r="J16" i="50"/>
  <c r="K16" i="50"/>
  <c r="L16" i="50"/>
  <c r="M16" i="50"/>
  <c r="N16" i="50"/>
  <c r="O16" i="50"/>
  <c r="Q16" i="50"/>
  <c r="A3" i="44"/>
  <c r="B3" i="44"/>
  <c r="B2" i="54"/>
  <c r="A1" i="40"/>
  <c r="B1" i="40"/>
  <c r="D6" i="40"/>
  <c r="B23" i="40"/>
  <c r="C23" i="40"/>
  <c r="A2" i="59"/>
  <c r="B2" i="59"/>
  <c r="C32" i="59"/>
  <c r="B1" i="39"/>
  <c r="C1" i="39"/>
  <c r="B16" i="39"/>
  <c r="B17" i="39"/>
  <c r="B18" i="39"/>
  <c r="A46" i="5"/>
  <c r="A23" i="56" s="1"/>
  <c r="A47" i="5"/>
  <c r="B20" i="39" s="1"/>
  <c r="A48" i="5"/>
  <c r="B21" i="39" s="1"/>
  <c r="A49" i="5"/>
  <c r="B22" i="39" s="1"/>
  <c r="B23" i="39"/>
  <c r="B24" i="39"/>
  <c r="B25" i="39"/>
  <c r="B26" i="39"/>
  <c r="B27" i="39"/>
  <c r="B28" i="39"/>
  <c r="B29" i="39"/>
  <c r="B33" i="39"/>
  <c r="B34" i="39"/>
  <c r="B35" i="39"/>
  <c r="B36" i="39"/>
  <c r="A2" i="49"/>
  <c r="A2" i="51" s="1"/>
  <c r="A2" i="56" s="1"/>
  <c r="F2" i="49"/>
  <c r="B2" i="51" s="1"/>
  <c r="B2" i="56" s="1"/>
  <c r="A20" i="56"/>
  <c r="A21" i="56"/>
  <c r="A22" i="56"/>
  <c r="A27" i="56"/>
  <c r="A28" i="56"/>
  <c r="A29" i="56"/>
  <c r="A30" i="56"/>
  <c r="A31" i="56"/>
  <c r="A32" i="56"/>
  <c r="A33" i="56"/>
  <c r="B19" i="3"/>
  <c r="B22" i="51" s="1"/>
  <c r="B23" i="51" s="1"/>
  <c r="A3" i="5"/>
  <c r="B3" i="5"/>
  <c r="A2" i="48"/>
  <c r="F2" i="48"/>
  <c r="K12" i="48"/>
  <c r="B46" i="48"/>
  <c r="B47" i="48"/>
  <c r="B48" i="48"/>
  <c r="B49" i="48"/>
  <c r="B50" i="48"/>
  <c r="B6" i="36"/>
  <c r="C6" i="36"/>
  <c r="H16" i="36"/>
  <c r="B29" i="36"/>
  <c r="B44" i="36"/>
  <c r="C70" i="36"/>
  <c r="C71" i="36"/>
  <c r="C72" i="36"/>
  <c r="C73" i="36"/>
  <c r="C74" i="36"/>
  <c r="C75" i="36"/>
  <c r="C77" i="36"/>
  <c r="C78" i="36"/>
  <c r="C7" i="8"/>
  <c r="C4" i="18" s="1"/>
  <c r="C62" i="18" s="1"/>
  <c r="C70" i="18" s="1"/>
  <c r="C79" i="18" s="1"/>
  <c r="C87" i="18" s="1"/>
  <c r="C8" i="8"/>
  <c r="C5" i="18" s="1"/>
  <c r="C9" i="8"/>
  <c r="C6" i="18" s="1"/>
  <c r="C10" i="8"/>
  <c r="C7" i="18" s="1"/>
  <c r="C11" i="8"/>
  <c r="C8" i="18" s="1"/>
  <c r="C66" i="18" s="1"/>
  <c r="C74" i="18" s="1"/>
  <c r="C83" i="18" s="1"/>
  <c r="C91" i="18" s="1"/>
  <c r="C9" i="18"/>
  <c r="C53" i="18" s="1"/>
  <c r="B16" i="18"/>
  <c r="C16" i="18"/>
  <c r="B17" i="18"/>
  <c r="C17" i="18"/>
  <c r="B18" i="18"/>
  <c r="B19" i="18"/>
  <c r="C19" i="18"/>
  <c r="B20" i="18"/>
  <c r="C20" i="18"/>
  <c r="B21" i="18"/>
  <c r="B23" i="18"/>
  <c r="B22" i="18"/>
  <c r="C21" i="18"/>
  <c r="C22" i="18"/>
  <c r="C23" i="18"/>
  <c r="B25" i="18"/>
  <c r="B26" i="18"/>
  <c r="H40" i="18"/>
  <c r="H41" i="18"/>
  <c r="H42" i="18"/>
  <c r="H43" i="18"/>
  <c r="H44" i="18"/>
  <c r="D46" i="18"/>
  <c r="E46" i="18"/>
  <c r="F46" i="18"/>
  <c r="G46" i="18"/>
  <c r="H46" i="18"/>
  <c r="I46" i="18"/>
  <c r="J46" i="18"/>
  <c r="D61" i="18"/>
  <c r="E61" i="18"/>
  <c r="F61" i="18"/>
  <c r="G61" i="18"/>
  <c r="I61" i="18"/>
  <c r="K84" i="18"/>
  <c r="I111" i="18"/>
  <c r="A2" i="4"/>
  <c r="P8" i="4"/>
  <c r="Q8" i="4" s="1"/>
  <c r="P9" i="4"/>
  <c r="Q9" i="4" s="1"/>
  <c r="P10" i="4"/>
  <c r="Q10" i="4" s="1"/>
  <c r="P11" i="4"/>
  <c r="Q11" i="4" s="1"/>
  <c r="P12" i="4"/>
  <c r="Q12" i="4" s="1"/>
  <c r="B32" i="4"/>
  <c r="B33" i="4"/>
  <c r="B34" i="4"/>
  <c r="B36" i="4"/>
  <c r="B37" i="4"/>
  <c r="B1" i="10"/>
  <c r="C1" i="10"/>
  <c r="B4" i="10"/>
  <c r="F9" i="10"/>
  <c r="F10" i="10"/>
  <c r="D11" i="10"/>
  <c r="B13" i="10"/>
  <c r="F18" i="10"/>
  <c r="F20" i="10"/>
  <c r="B214" i="5" s="1"/>
  <c r="F19" i="10"/>
  <c r="D20" i="10"/>
  <c r="A1" i="9"/>
  <c r="B1" i="9"/>
  <c r="A4" i="9"/>
  <c r="D11" i="9"/>
  <c r="E14" i="9"/>
  <c r="E19" i="9" s="1"/>
  <c r="E15" i="9"/>
  <c r="E16" i="9"/>
  <c r="E17" i="9"/>
  <c r="E18" i="9"/>
  <c r="C19" i="9"/>
  <c r="F25" i="9"/>
  <c r="F28" i="9" s="1"/>
  <c r="F26" i="9"/>
  <c r="F27" i="9"/>
  <c r="A33" i="9"/>
  <c r="E43" i="9"/>
  <c r="E44" i="9"/>
  <c r="E45" i="9"/>
  <c r="E48" i="9"/>
  <c r="C171" i="43" s="1"/>
  <c r="E46" i="9"/>
  <c r="E47" i="9"/>
  <c r="C48" i="9"/>
  <c r="F53" i="9"/>
  <c r="F54" i="9"/>
  <c r="F55" i="9"/>
  <c r="F56" i="9"/>
  <c r="E70" i="9"/>
  <c r="E71" i="9"/>
  <c r="E75" i="9" s="1"/>
  <c r="E72" i="9"/>
  <c r="E73" i="9"/>
  <c r="E74" i="9"/>
  <c r="C75" i="9"/>
  <c r="F79" i="9"/>
  <c r="F80" i="9"/>
  <c r="F81" i="9"/>
  <c r="F82" i="9"/>
  <c r="F83" i="9"/>
  <c r="B2" i="8"/>
  <c r="E20" i="8"/>
  <c r="D24" i="46" s="1"/>
  <c r="H2" i="7"/>
  <c r="B2" i="34"/>
  <c r="C2" i="34"/>
  <c r="H5" i="34"/>
  <c r="D23" i="34"/>
  <c r="B26" i="34"/>
  <c r="AG26" i="34"/>
  <c r="AH26" i="34"/>
  <c r="AI26" i="34"/>
  <c r="AJ26" i="34"/>
  <c r="AK26" i="34"/>
  <c r="AL26" i="34"/>
  <c r="AM26" i="34"/>
  <c r="AN26" i="34"/>
  <c r="AO26" i="34"/>
  <c r="AP26" i="34"/>
  <c r="AQ26" i="34"/>
  <c r="AR26" i="34"/>
  <c r="AS26" i="34"/>
  <c r="AT26" i="34"/>
  <c r="AU26" i="34"/>
  <c r="AV26" i="34"/>
  <c r="B27" i="34"/>
  <c r="B48" i="34" s="1"/>
  <c r="B68" i="34" s="1"/>
  <c r="N27" i="34"/>
  <c r="B28" i="34"/>
  <c r="B49" i="34" s="1"/>
  <c r="B69" i="34" s="1"/>
  <c r="N28" i="34"/>
  <c r="B29" i="34"/>
  <c r="B50" i="34" s="1"/>
  <c r="B70" i="34" s="1"/>
  <c r="N29" i="34"/>
  <c r="O29" i="34"/>
  <c r="B30" i="34"/>
  <c r="B51" i="34"/>
  <c r="N30" i="34"/>
  <c r="O30" i="34"/>
  <c r="B31" i="34"/>
  <c r="B52" i="34"/>
  <c r="B72" i="34" s="1"/>
  <c r="N31" i="34"/>
  <c r="O31" i="34" s="1"/>
  <c r="B32" i="34"/>
  <c r="B53" i="34" s="1"/>
  <c r="B73" i="34" s="1"/>
  <c r="N32" i="34"/>
  <c r="B33" i="34"/>
  <c r="N33" i="34"/>
  <c r="B34" i="34"/>
  <c r="B55" i="34"/>
  <c r="B75" i="34"/>
  <c r="N34" i="34"/>
  <c r="O34" i="34" s="1"/>
  <c r="B35" i="34"/>
  <c r="B56" i="34"/>
  <c r="B76" i="34"/>
  <c r="N35" i="34"/>
  <c r="B36" i="34"/>
  <c r="B57" i="34"/>
  <c r="B77" i="34"/>
  <c r="N36" i="34"/>
  <c r="B39" i="34"/>
  <c r="B59" i="34"/>
  <c r="B79" i="34"/>
  <c r="N39" i="34"/>
  <c r="B71" i="34"/>
  <c r="B54" i="34"/>
  <c r="B74" i="34" s="1"/>
  <c r="C73" i="34"/>
  <c r="D73" i="34"/>
  <c r="E73" i="34"/>
  <c r="F73" i="34"/>
  <c r="G73" i="34"/>
  <c r="H73" i="34"/>
  <c r="I73" i="34"/>
  <c r="J73" i="34"/>
  <c r="K73" i="34"/>
  <c r="L73" i="34"/>
  <c r="M73" i="34"/>
  <c r="C74" i="34"/>
  <c r="D74" i="34"/>
  <c r="E74" i="34"/>
  <c r="F74" i="34"/>
  <c r="G74" i="34"/>
  <c r="H74" i="34"/>
  <c r="I74" i="34"/>
  <c r="J74" i="34"/>
  <c r="K74" i="34"/>
  <c r="L74" i="34"/>
  <c r="M74" i="34"/>
  <c r="C75" i="34"/>
  <c r="D75" i="34"/>
  <c r="E75" i="34"/>
  <c r="F75" i="34"/>
  <c r="G75" i="34"/>
  <c r="H75" i="34"/>
  <c r="I75" i="34"/>
  <c r="J75" i="34"/>
  <c r="K75" i="34"/>
  <c r="L75" i="34"/>
  <c r="M75" i="34"/>
  <c r="C76" i="34"/>
  <c r="D76" i="34"/>
  <c r="E76" i="34"/>
  <c r="F76" i="34"/>
  <c r="G76" i="34"/>
  <c r="H76" i="34"/>
  <c r="I76" i="34"/>
  <c r="J76" i="34"/>
  <c r="K76" i="34"/>
  <c r="L76" i="34"/>
  <c r="M76" i="34"/>
  <c r="C77" i="34"/>
  <c r="D77" i="34"/>
  <c r="E77" i="34"/>
  <c r="F77" i="34"/>
  <c r="G77" i="34"/>
  <c r="H77" i="34"/>
  <c r="I77" i="34"/>
  <c r="J77" i="34"/>
  <c r="K77" i="34"/>
  <c r="L77" i="34"/>
  <c r="M77" i="34"/>
  <c r="B2" i="6"/>
  <c r="C2" i="6"/>
  <c r="J5" i="6"/>
  <c r="J6" i="6"/>
  <c r="J7" i="6"/>
  <c r="J8" i="6"/>
  <c r="J9" i="6"/>
  <c r="E10" i="6"/>
  <c r="E24" i="6" s="1"/>
  <c r="J10" i="6"/>
  <c r="E11" i="6"/>
  <c r="J11" i="6"/>
  <c r="E12" i="6"/>
  <c r="J12" i="6"/>
  <c r="E13" i="6"/>
  <c r="J13" i="6"/>
  <c r="E14" i="6"/>
  <c r="P38" i="6"/>
  <c r="Q38" i="6" s="1"/>
  <c r="J14" i="6"/>
  <c r="E15" i="6"/>
  <c r="J15" i="6"/>
  <c r="E16" i="6"/>
  <c r="J16" i="6"/>
  <c r="E17" i="6"/>
  <c r="J17" i="6"/>
  <c r="E18" i="6"/>
  <c r="J18" i="6"/>
  <c r="E19" i="6"/>
  <c r="J19" i="6"/>
  <c r="E20" i="6"/>
  <c r="J20" i="6"/>
  <c r="E21" i="6"/>
  <c r="J21" i="6"/>
  <c r="E22" i="6"/>
  <c r="J22" i="6"/>
  <c r="E23" i="6"/>
  <c r="J23" i="6"/>
  <c r="AX28" i="6"/>
  <c r="AW26" i="34" s="1"/>
  <c r="AY28" i="6"/>
  <c r="AX26" i="34"/>
  <c r="AZ28" i="6"/>
  <c r="AY26" i="34" s="1"/>
  <c r="BA28" i="6"/>
  <c r="B29" i="6"/>
  <c r="B50" i="6"/>
  <c r="B75" i="6" s="1"/>
  <c r="P29" i="6"/>
  <c r="B30" i="6"/>
  <c r="B51" i="6" s="1"/>
  <c r="B76" i="6" s="1"/>
  <c r="P30" i="6"/>
  <c r="B31" i="6"/>
  <c r="B52" i="6"/>
  <c r="B77" i="6" s="1"/>
  <c r="P31" i="6"/>
  <c r="B32" i="6"/>
  <c r="B53" i="6"/>
  <c r="B78" i="6" s="1"/>
  <c r="P32" i="6"/>
  <c r="Q32" i="6" s="1"/>
  <c r="B33" i="6"/>
  <c r="B54" i="6"/>
  <c r="B79" i="6" s="1"/>
  <c r="P33" i="6"/>
  <c r="B34" i="6"/>
  <c r="B55" i="6" s="1"/>
  <c r="B80" i="6" s="1"/>
  <c r="P34" i="6"/>
  <c r="Q34" i="6"/>
  <c r="B35" i="6"/>
  <c r="B56" i="6" s="1"/>
  <c r="B81" i="6" s="1"/>
  <c r="P35" i="6"/>
  <c r="B36" i="6"/>
  <c r="B57" i="6" s="1"/>
  <c r="B82" i="6"/>
  <c r="P36" i="6"/>
  <c r="B37" i="6"/>
  <c r="B58" i="6"/>
  <c r="B83" i="6" s="1"/>
  <c r="P37" i="6"/>
  <c r="B38" i="6"/>
  <c r="B59" i="6"/>
  <c r="B84" i="6" s="1"/>
  <c r="B39" i="6"/>
  <c r="B60" i="6" s="1"/>
  <c r="B85" i="6"/>
  <c r="P39" i="6"/>
  <c r="Q39" i="6" s="1"/>
  <c r="B40" i="6"/>
  <c r="B61" i="6"/>
  <c r="B86" i="6"/>
  <c r="P40" i="6"/>
  <c r="B41" i="6"/>
  <c r="B62" i="6"/>
  <c r="B87" i="6"/>
  <c r="P41" i="6"/>
  <c r="B42" i="6"/>
  <c r="B63" i="6"/>
  <c r="B88" i="6"/>
  <c r="P42" i="6"/>
  <c r="B43" i="6"/>
  <c r="B64" i="6"/>
  <c r="B89" i="6"/>
  <c r="P43" i="6"/>
  <c r="B44" i="6"/>
  <c r="B65" i="6"/>
  <c r="B90" i="6" s="1"/>
  <c r="P44" i="6"/>
  <c r="B45" i="6"/>
  <c r="B66" i="6"/>
  <c r="B91" i="6" s="1"/>
  <c r="P45" i="6"/>
  <c r="Q45" i="6" s="1"/>
  <c r="B46" i="6"/>
  <c r="B67" i="6"/>
  <c r="B92" i="6" s="1"/>
  <c r="P46" i="6"/>
  <c r="B47" i="6"/>
  <c r="B68" i="6" s="1"/>
  <c r="B93" i="6" s="1"/>
  <c r="P47" i="6"/>
  <c r="Q47" i="6"/>
  <c r="C66" i="6"/>
  <c r="C86" i="6"/>
  <c r="D86" i="6"/>
  <c r="E86" i="6"/>
  <c r="F86" i="6"/>
  <c r="G86" i="6"/>
  <c r="H86" i="6"/>
  <c r="I86" i="6"/>
  <c r="J86" i="6"/>
  <c r="K86" i="6"/>
  <c r="L86" i="6"/>
  <c r="M86" i="6"/>
  <c r="O86" i="6"/>
  <c r="C87" i="6"/>
  <c r="D87" i="6"/>
  <c r="E87" i="6"/>
  <c r="F87" i="6"/>
  <c r="G87" i="6"/>
  <c r="H87" i="6"/>
  <c r="I87" i="6"/>
  <c r="J87" i="6"/>
  <c r="K87" i="6"/>
  <c r="L87" i="6"/>
  <c r="M87" i="6"/>
  <c r="O87" i="6"/>
  <c r="C88" i="6"/>
  <c r="D88" i="6"/>
  <c r="E88" i="6"/>
  <c r="F88" i="6"/>
  <c r="G88" i="6"/>
  <c r="H88" i="6"/>
  <c r="I88" i="6"/>
  <c r="J88" i="6"/>
  <c r="K88" i="6"/>
  <c r="L88" i="6"/>
  <c r="M88" i="6"/>
  <c r="O88" i="6"/>
  <c r="C89" i="6"/>
  <c r="D89" i="6"/>
  <c r="E89" i="6"/>
  <c r="F89" i="6"/>
  <c r="G89" i="6"/>
  <c r="H89" i="6"/>
  <c r="I89" i="6"/>
  <c r="J89" i="6"/>
  <c r="K89" i="6"/>
  <c r="L89" i="6"/>
  <c r="M89" i="6"/>
  <c r="O89" i="6"/>
  <c r="C90" i="6"/>
  <c r="D90" i="6"/>
  <c r="E90" i="6"/>
  <c r="F90" i="6"/>
  <c r="G90" i="6"/>
  <c r="H90" i="6"/>
  <c r="I90" i="6"/>
  <c r="J90" i="6"/>
  <c r="K90" i="6"/>
  <c r="L90" i="6"/>
  <c r="M90" i="6"/>
  <c r="O90" i="6"/>
  <c r="C91" i="6"/>
  <c r="D91" i="6"/>
  <c r="E91" i="6"/>
  <c r="F91" i="6"/>
  <c r="G91" i="6"/>
  <c r="H91" i="6"/>
  <c r="I91" i="6"/>
  <c r="J91" i="6"/>
  <c r="K91" i="6"/>
  <c r="L91" i="6"/>
  <c r="M91" i="6"/>
  <c r="O91" i="6"/>
  <c r="C92" i="6"/>
  <c r="D92" i="6"/>
  <c r="E92" i="6"/>
  <c r="F92" i="6"/>
  <c r="G92" i="6"/>
  <c r="H92" i="6"/>
  <c r="I92" i="6"/>
  <c r="J92" i="6"/>
  <c r="K92" i="6"/>
  <c r="L92" i="6"/>
  <c r="M92" i="6"/>
  <c r="O92" i="6"/>
  <c r="C93" i="6"/>
  <c r="D93" i="6"/>
  <c r="E93" i="6"/>
  <c r="F93" i="6"/>
  <c r="G93" i="6"/>
  <c r="H93" i="6"/>
  <c r="I93" i="6"/>
  <c r="J93" i="6"/>
  <c r="K93" i="6"/>
  <c r="L93" i="6"/>
  <c r="M93" i="6"/>
  <c r="O93" i="6"/>
  <c r="V111" i="6"/>
  <c r="V112" i="6"/>
  <c r="V113" i="6"/>
  <c r="S114" i="6"/>
  <c r="T114" i="6"/>
  <c r="U114" i="6"/>
  <c r="V114" i="6"/>
  <c r="S115" i="6"/>
  <c r="T115" i="6"/>
  <c r="U115" i="6"/>
  <c r="V115" i="6"/>
  <c r="S116" i="6"/>
  <c r="T116" i="6"/>
  <c r="U116" i="6"/>
  <c r="V116" i="6"/>
  <c r="S117" i="6"/>
  <c r="T117" i="6"/>
  <c r="U117" i="6"/>
  <c r="V117" i="6"/>
  <c r="B2" i="2"/>
  <c r="C51" i="40"/>
  <c r="D51" i="40" s="1"/>
  <c r="H8" i="2"/>
  <c r="H9" i="2"/>
  <c r="H11" i="2"/>
  <c r="H12" i="2"/>
  <c r="H13" i="2"/>
  <c r="H15" i="2"/>
  <c r="H16" i="2"/>
  <c r="F20" i="2"/>
  <c r="H20" i="2"/>
  <c r="F21" i="2"/>
  <c r="H21" i="2"/>
  <c r="F22" i="2"/>
  <c r="H22" i="2"/>
  <c r="H23" i="2" s="1"/>
  <c r="C23" i="2"/>
  <c r="B9" i="35"/>
  <c r="F10" i="35"/>
  <c r="F11" i="35"/>
  <c r="F18" i="35" s="1"/>
  <c r="F12" i="35"/>
  <c r="F13" i="35"/>
  <c r="F14" i="35"/>
  <c r="F15" i="35"/>
  <c r="F16" i="35"/>
  <c r="F17" i="35"/>
  <c r="F19" i="35"/>
  <c r="G4" i="41" s="1"/>
  <c r="E24" i="35"/>
  <c r="E25" i="35"/>
  <c r="E26" i="35"/>
  <c r="B40" i="35"/>
  <c r="B41" i="35"/>
  <c r="P41" i="35"/>
  <c r="Q41" i="35" s="1"/>
  <c r="B42" i="35"/>
  <c r="B43" i="35"/>
  <c r="P43" i="35"/>
  <c r="Q43" i="35" s="1"/>
  <c r="V9" i="3"/>
  <c r="V10" i="3"/>
  <c r="V12" i="3"/>
  <c r="V13" i="3"/>
  <c r="I15" i="3"/>
  <c r="G82" i="3"/>
  <c r="O82" i="3"/>
  <c r="T82" i="3"/>
  <c r="G83" i="3"/>
  <c r="O83" i="3"/>
  <c r="T83" i="3"/>
  <c r="T86" i="3" s="1"/>
  <c r="G84" i="3"/>
  <c r="O84" i="3"/>
  <c r="T84" i="3"/>
  <c r="G85" i="3"/>
  <c r="O85" i="3"/>
  <c r="T85" i="3"/>
  <c r="E86" i="3"/>
  <c r="H86" i="3"/>
  <c r="O86" i="3" s="1"/>
  <c r="I86" i="3"/>
  <c r="J86" i="3"/>
  <c r="G91" i="3"/>
  <c r="O91" i="3"/>
  <c r="T91" i="3"/>
  <c r="T92" i="3"/>
  <c r="T93" i="3"/>
  <c r="G92" i="3"/>
  <c r="O92" i="3"/>
  <c r="B206" i="5"/>
  <c r="S92" i="3"/>
  <c r="B207" i="5"/>
  <c r="E93" i="3"/>
  <c r="H93" i="3"/>
  <c r="I93" i="3"/>
  <c r="G62" i="1"/>
  <c r="I62" i="1"/>
  <c r="G63" i="1"/>
  <c r="G64" i="1"/>
  <c r="I64" i="1"/>
  <c r="G65" i="1"/>
  <c r="I65" i="1"/>
  <c r="J65" i="1" s="1"/>
  <c r="J69" i="1"/>
  <c r="J68" i="1"/>
  <c r="I66" i="1"/>
  <c r="J66" i="1" s="1"/>
  <c r="G66" i="1"/>
  <c r="G67" i="1"/>
  <c r="G68" i="1"/>
  <c r="G69" i="1"/>
  <c r="G82" i="1"/>
  <c r="I82" i="1"/>
  <c r="G86" i="1"/>
  <c r="I86" i="1"/>
  <c r="G87" i="1"/>
  <c r="I87" i="1"/>
  <c r="G88" i="1"/>
  <c r="G90" i="1"/>
  <c r="G91" i="1"/>
  <c r="J91" i="1"/>
  <c r="J68" i="6"/>
  <c r="C61" i="6"/>
  <c r="I68" i="6"/>
  <c r="M66" i="6"/>
  <c r="O66" i="6"/>
  <c r="K66" i="6"/>
  <c r="D74" i="36"/>
  <c r="C53" i="62" s="1"/>
  <c r="B5" i="40"/>
  <c r="C5" i="50" s="1"/>
  <c r="B7" i="59"/>
  <c r="I63" i="1"/>
  <c r="F68" i="6"/>
  <c r="G68" i="6"/>
  <c r="H68" i="6"/>
  <c r="O68" i="6"/>
  <c r="D68" i="6"/>
  <c r="C68" i="6"/>
  <c r="E68" i="6"/>
  <c r="G64" i="6"/>
  <c r="K64" i="6"/>
  <c r="E60" i="6"/>
  <c r="J60" i="6"/>
  <c r="L60" i="6"/>
  <c r="I60" i="6"/>
  <c r="C60" i="6"/>
  <c r="D60" i="6"/>
  <c r="K64" i="34"/>
  <c r="E64" i="34"/>
  <c r="F64" i="34"/>
  <c r="L64" i="34"/>
  <c r="A24" i="56"/>
  <c r="J51" i="34"/>
  <c r="G51" i="34"/>
  <c r="C51" i="34"/>
  <c r="I51" i="34"/>
  <c r="F51" i="34"/>
  <c r="L8" i="34"/>
  <c r="K71" i="34"/>
  <c r="L51" i="34"/>
  <c r="B48" i="5"/>
  <c r="B25" i="56" s="1"/>
  <c r="F56" i="6"/>
  <c r="O58" i="6"/>
  <c r="L61" i="6"/>
  <c r="J57" i="6"/>
  <c r="G62" i="34"/>
  <c r="F51" i="6"/>
  <c r="K61" i="34"/>
  <c r="J61" i="34"/>
  <c r="I61" i="34"/>
  <c r="D59" i="34"/>
  <c r="J52" i="34"/>
  <c r="F53" i="6"/>
  <c r="L71" i="34"/>
  <c r="K59" i="34"/>
  <c r="F53" i="34"/>
  <c r="J71" i="34"/>
  <c r="C71" i="34"/>
  <c r="G51" i="6"/>
  <c r="M53" i="6"/>
  <c r="G59" i="6"/>
  <c r="F49" i="34"/>
  <c r="C57" i="6"/>
  <c r="C50" i="34"/>
  <c r="J60" i="34"/>
  <c r="I60" i="34"/>
  <c r="H60" i="34"/>
  <c r="E60" i="34"/>
  <c r="M60" i="34"/>
  <c r="D60" i="34"/>
  <c r="C60" i="34"/>
  <c r="L60" i="34"/>
  <c r="G60" i="34"/>
  <c r="F60" i="34"/>
  <c r="C53" i="34"/>
  <c r="M53" i="34"/>
  <c r="K53" i="34"/>
  <c r="G53" i="34"/>
  <c r="I53" i="34"/>
  <c r="J53" i="34"/>
  <c r="K60" i="34"/>
  <c r="E53" i="34"/>
  <c r="E75" i="6"/>
  <c r="F71" i="34"/>
  <c r="M68" i="6"/>
  <c r="L68" i="6"/>
  <c r="K68" i="6"/>
  <c r="G64" i="34"/>
  <c r="C64" i="34"/>
  <c r="I64" i="34"/>
  <c r="M64" i="6"/>
  <c r="H60" i="6"/>
  <c r="G60" i="6"/>
  <c r="F60" i="6"/>
  <c r="I50" i="6"/>
  <c r="H55" i="6"/>
  <c r="O55" i="6"/>
  <c r="F55" i="6"/>
  <c r="C31" i="59"/>
  <c r="H10" i="2"/>
  <c r="E27" i="35"/>
  <c r="F6" i="39"/>
  <c r="B267" i="5"/>
  <c r="F39" i="18"/>
  <c r="C18" i="40"/>
  <c r="Y4" i="41" s="1"/>
  <c r="G63" i="34"/>
  <c r="F63" i="34"/>
  <c r="L63" i="34"/>
  <c r="M63" i="34"/>
  <c r="O43" i="34"/>
  <c r="I63" i="34"/>
  <c r="K63" i="34"/>
  <c r="E63" i="34"/>
  <c r="H63" i="34"/>
  <c r="E49" i="35"/>
  <c r="D49" i="35"/>
  <c r="F49" i="35"/>
  <c r="M65" i="6"/>
  <c r="O65" i="6"/>
  <c r="G55" i="34"/>
  <c r="I66" i="6"/>
  <c r="E66" i="6"/>
  <c r="D66" i="6"/>
  <c r="F66" i="6"/>
  <c r="G62" i="6"/>
  <c r="L51" i="6"/>
  <c r="K51" i="6"/>
  <c r="M51" i="6"/>
  <c r="D53" i="6"/>
  <c r="L8" i="6"/>
  <c r="J53" i="6"/>
  <c r="F63" i="6"/>
  <c r="G63" i="6"/>
  <c r="O63" i="6"/>
  <c r="C63" i="6"/>
  <c r="E63" i="6"/>
  <c r="J59" i="6"/>
  <c r="M59" i="6"/>
  <c r="C59" i="6"/>
  <c r="J57" i="34"/>
  <c r="D56" i="6"/>
  <c r="E56" i="6"/>
  <c r="H56" i="6"/>
  <c r="D68" i="34"/>
  <c r="M52" i="34"/>
  <c r="G52" i="34"/>
  <c r="D52" i="34"/>
  <c r="L9" i="34"/>
  <c r="K72" i="34"/>
  <c r="I52" i="34"/>
  <c r="E52" i="34"/>
  <c r="L52" i="34"/>
  <c r="F52" i="34"/>
  <c r="D49" i="34"/>
  <c r="K49" i="34"/>
  <c r="H61" i="34"/>
  <c r="L61" i="34"/>
  <c r="D50" i="6"/>
  <c r="Q33" i="6"/>
  <c r="L78" i="6"/>
  <c r="E78" i="6"/>
  <c r="M78" i="6"/>
  <c r="K78" i="6"/>
  <c r="G78" i="6"/>
  <c r="J72" i="34"/>
  <c r="E68" i="34"/>
  <c r="E26" i="34"/>
  <c r="E38" i="34" s="1"/>
  <c r="R93" i="3"/>
  <c r="K2" i="54"/>
  <c r="A17" i="54" s="1"/>
  <c r="I2" i="53"/>
  <c r="J25" i="73"/>
  <c r="C72" i="34"/>
  <c r="D48" i="35"/>
  <c r="O93" i="3"/>
  <c r="I18" i="7"/>
  <c r="I72" i="34"/>
  <c r="F48" i="35"/>
  <c r="D58" i="6"/>
  <c r="J58" i="6"/>
  <c r="J55" i="34"/>
  <c r="M55" i="34"/>
  <c r="D26" i="34"/>
  <c r="D38" i="34" s="1"/>
  <c r="Q35" i="6"/>
  <c r="M56" i="6"/>
  <c r="K56" i="6"/>
  <c r="I56" i="6"/>
  <c r="M49" i="34"/>
  <c r="L6" i="34"/>
  <c r="G49" i="34"/>
  <c r="O28" i="34"/>
  <c r="J49" i="34"/>
  <c r="I49" i="34"/>
  <c r="H49" i="34"/>
  <c r="L49" i="34"/>
  <c r="C49" i="34"/>
  <c r="E49" i="34"/>
  <c r="F68" i="34"/>
  <c r="F72" i="34"/>
  <c r="G72" i="34"/>
  <c r="D72" i="34"/>
  <c r="E72" i="34"/>
  <c r="L72" i="34"/>
  <c r="H72" i="34"/>
  <c r="D47" i="35"/>
  <c r="E47" i="35"/>
  <c r="F47" i="35"/>
  <c r="M72" i="34"/>
  <c r="E48" i="35"/>
  <c r="H57" i="34"/>
  <c r="I57" i="34"/>
  <c r="G57" i="34"/>
  <c r="I54" i="34"/>
  <c r="L54" i="34"/>
  <c r="L50" i="34"/>
  <c r="H50" i="34"/>
  <c r="G50" i="34"/>
  <c r="I51" i="6"/>
  <c r="J51" i="6"/>
  <c r="E51" i="6"/>
  <c r="H53" i="6"/>
  <c r="E53" i="6"/>
  <c r="O53" i="6"/>
  <c r="Q42" i="35"/>
  <c r="D61" i="6"/>
  <c r="E61" i="6"/>
  <c r="M61" i="6"/>
  <c r="I61" i="6"/>
  <c r="J48" i="34"/>
  <c r="G52" i="6"/>
  <c r="I52" i="6"/>
  <c r="G93" i="3"/>
  <c r="Q30" i="6"/>
  <c r="F17" i="2"/>
  <c r="B36" i="5"/>
  <c r="B13" i="56" s="1"/>
  <c r="S93" i="3"/>
  <c r="S86" i="3"/>
  <c r="B236" i="5"/>
  <c r="I67" i="6"/>
  <c r="M67" i="6"/>
  <c r="K63" i="6"/>
  <c r="M63" i="6"/>
  <c r="J63" i="6"/>
  <c r="H63" i="6"/>
  <c r="I63" i="6"/>
  <c r="Q42" i="6"/>
  <c r="D63" i="6"/>
  <c r="L63" i="6"/>
  <c r="K59" i="6"/>
  <c r="F59" i="6"/>
  <c r="L59" i="6"/>
  <c r="O59" i="6"/>
  <c r="E59" i="6"/>
  <c r="D59" i="6"/>
  <c r="H59" i="6"/>
  <c r="E57" i="34"/>
  <c r="F57" i="34"/>
  <c r="D57" i="34"/>
  <c r="K57" i="34"/>
  <c r="M57" i="34"/>
  <c r="C57" i="34"/>
  <c r="O36" i="34"/>
  <c r="L57" i="34"/>
  <c r="F75" i="6"/>
  <c r="D75" i="6"/>
  <c r="L56" i="6"/>
  <c r="I71" i="34"/>
  <c r="J66" i="6"/>
  <c r="J56" i="6"/>
  <c r="F84" i="9"/>
  <c r="E64" i="6"/>
  <c r="O60" i="6"/>
  <c r="M60" i="6"/>
  <c r="K60" i="6"/>
  <c r="L53" i="34"/>
  <c r="D53" i="34"/>
  <c r="O32" i="34"/>
  <c r="H69" i="34"/>
  <c r="E69" i="34"/>
  <c r="H51" i="34"/>
  <c r="D51" i="34"/>
  <c r="M71" i="34"/>
  <c r="H71" i="34"/>
  <c r="G71" i="34"/>
  <c r="G66" i="6"/>
  <c r="L66" i="6"/>
  <c r="E62" i="34"/>
  <c r="G56" i="6"/>
  <c r="O56" i="6"/>
  <c r="C53" i="6"/>
  <c r="M64" i="34"/>
  <c r="J64" i="34"/>
  <c r="C52" i="34"/>
  <c r="D55" i="6"/>
  <c r="I55" i="6"/>
  <c r="F54" i="34"/>
  <c r="D69" i="36"/>
  <c r="C48" i="62" s="1"/>
  <c r="F69" i="34"/>
  <c r="L69" i="34"/>
  <c r="G69" i="34"/>
  <c r="J69" i="34"/>
  <c r="M69" i="34"/>
  <c r="C69" i="34"/>
  <c r="K69" i="34"/>
  <c r="I69" i="34"/>
  <c r="D69" i="34"/>
  <c r="C52" i="39"/>
  <c r="E52" i="39" s="1"/>
  <c r="O50" i="35" l="1"/>
  <c r="O44" i="35" s="1"/>
  <c r="E24" i="18" s="1"/>
  <c r="E111" i="18" s="1"/>
  <c r="C46" i="35"/>
  <c r="O46" i="35"/>
  <c r="L46" i="35"/>
  <c r="F46" i="35"/>
  <c r="I17" i="2"/>
  <c r="E26" i="7"/>
  <c r="F406" i="7"/>
  <c r="I406" i="7" s="1"/>
  <c r="F36" i="35"/>
  <c r="B12" i="5" s="1"/>
  <c r="K46" i="35"/>
  <c r="K50" i="35" s="1"/>
  <c r="K44" i="35" s="1"/>
  <c r="E8" i="18" s="1"/>
  <c r="C119" i="43" s="1"/>
  <c r="I46" i="35"/>
  <c r="I50" i="35" s="1"/>
  <c r="I44" i="35" s="1"/>
  <c r="E6" i="18" s="1"/>
  <c r="C66" i="43" s="1"/>
  <c r="H46" i="35"/>
  <c r="H50" i="35" s="1"/>
  <c r="H44" i="35" s="1"/>
  <c r="E5" i="18" s="1"/>
  <c r="C35" i="43" s="1"/>
  <c r="G46" i="35"/>
  <c r="G50" i="35" s="1"/>
  <c r="G44" i="35" s="1"/>
  <c r="E4" i="18" s="1"/>
  <c r="C8" i="43" s="1"/>
  <c r="B47" i="5"/>
  <c r="C20" i="39" s="1"/>
  <c r="C61" i="39" s="1"/>
  <c r="E61" i="39" s="1"/>
  <c r="I28" i="8"/>
  <c r="C57" i="40"/>
  <c r="AE68" i="3"/>
  <c r="B37" i="5" s="1"/>
  <c r="B14" i="56" s="1"/>
  <c r="K41" i="18"/>
  <c r="D41" i="18" s="1"/>
  <c r="G10" i="3"/>
  <c r="V15" i="3"/>
  <c r="C26" i="3"/>
  <c r="B180" i="5"/>
  <c r="B182" i="5" s="1"/>
  <c r="H5" i="44" s="1"/>
  <c r="D9" i="70"/>
  <c r="B76" i="5"/>
  <c r="D5" i="44" s="1"/>
  <c r="B51" i="44" s="1"/>
  <c r="L11" i="3"/>
  <c r="J11" i="3" s="1"/>
  <c r="U11" i="3"/>
  <c r="U15" i="3" s="1"/>
  <c r="E98" i="1"/>
  <c r="B128" i="5"/>
  <c r="M339" i="7"/>
  <c r="I339" i="7"/>
  <c r="K40" i="18"/>
  <c r="B7" i="9"/>
  <c r="B36" i="9" s="1"/>
  <c r="B18" i="36" s="1"/>
  <c r="B10" i="36" s="1"/>
  <c r="N18" i="36" s="1"/>
  <c r="B97" i="5"/>
  <c r="M37" i="70" s="1"/>
  <c r="D12" i="74"/>
  <c r="F211" i="7"/>
  <c r="I211" i="7" s="1"/>
  <c r="B220" i="7"/>
  <c r="B221" i="7" s="1"/>
  <c r="B222" i="7" s="1"/>
  <c r="B223" i="7"/>
  <c r="B224" i="7" s="1"/>
  <c r="B225" i="7" s="1"/>
  <c r="B273" i="5"/>
  <c r="J84" i="9"/>
  <c r="C202" i="43"/>
  <c r="I20" i="36"/>
  <c r="E28" i="35"/>
  <c r="B39" i="37" s="1"/>
  <c r="F4" i="41"/>
  <c r="B211" i="5"/>
  <c r="C144" i="43"/>
  <c r="H24" i="9"/>
  <c r="Q41" i="6"/>
  <c r="H62" i="6"/>
  <c r="C62" i="6"/>
  <c r="M62" i="6"/>
  <c r="O62" i="6"/>
  <c r="F62" i="6"/>
  <c r="K62" i="6"/>
  <c r="I62" i="6"/>
  <c r="D62" i="6"/>
  <c r="L62" i="6"/>
  <c r="E62" i="6"/>
  <c r="J62" i="6"/>
  <c r="M58" i="6"/>
  <c r="E58" i="6"/>
  <c r="H58" i="6"/>
  <c r="K58" i="6"/>
  <c r="I58" i="6"/>
  <c r="G58" i="6"/>
  <c r="C58" i="6"/>
  <c r="F58" i="6"/>
  <c r="Q37" i="6"/>
  <c r="L58" i="6"/>
  <c r="M59" i="34"/>
  <c r="F59" i="34"/>
  <c r="L59" i="34"/>
  <c r="C59" i="34"/>
  <c r="I59" i="34"/>
  <c r="O39" i="34"/>
  <c r="H59" i="34"/>
  <c r="G59" i="34"/>
  <c r="J59" i="34"/>
  <c r="F23" i="34"/>
  <c r="G54" i="34"/>
  <c r="E54" i="34"/>
  <c r="M54" i="34"/>
  <c r="J54" i="34"/>
  <c r="C54" i="34"/>
  <c r="K54" i="34"/>
  <c r="D54" i="34"/>
  <c r="H54" i="34"/>
  <c r="O33" i="34"/>
  <c r="F48" i="34"/>
  <c r="O27" i="34"/>
  <c r="I48" i="34"/>
  <c r="H48" i="34"/>
  <c r="C48" i="34"/>
  <c r="E48" i="34"/>
  <c r="K48" i="34"/>
  <c r="G48" i="34"/>
  <c r="G66" i="34" s="1"/>
  <c r="G45" i="34" s="1"/>
  <c r="I4" i="18" s="1"/>
  <c r="L48" i="34"/>
  <c r="D48" i="34"/>
  <c r="M48" i="34"/>
  <c r="J50" i="6"/>
  <c r="M50" i="6"/>
  <c r="F50" i="6"/>
  <c r="G50" i="6"/>
  <c r="C50" i="6"/>
  <c r="L50" i="6"/>
  <c r="Q29" i="6"/>
  <c r="H50" i="6"/>
  <c r="K50" i="6"/>
  <c r="O50" i="6"/>
  <c r="H24" i="6"/>
  <c r="B16" i="5" s="1"/>
  <c r="D52" i="6"/>
  <c r="Q31" i="6"/>
  <c r="F52" i="6"/>
  <c r="C52" i="6"/>
  <c r="L52" i="6"/>
  <c r="O52" i="6"/>
  <c r="J52" i="6"/>
  <c r="L7" i="6"/>
  <c r="M52" i="6"/>
  <c r="E52" i="6"/>
  <c r="K52" i="6"/>
  <c r="H52" i="6"/>
  <c r="H54" i="6"/>
  <c r="M54" i="6"/>
  <c r="L54" i="6"/>
  <c r="C54" i="6"/>
  <c r="K54" i="6"/>
  <c r="L9" i="6"/>
  <c r="E54" i="6"/>
  <c r="O54" i="6"/>
  <c r="G54" i="6"/>
  <c r="I54" i="6"/>
  <c r="I70" i="6" s="1"/>
  <c r="I48" i="6" s="1"/>
  <c r="G6" i="18" s="1"/>
  <c r="C74" i="43" s="1"/>
  <c r="D54" i="6"/>
  <c r="J54" i="6"/>
  <c r="E59" i="34"/>
  <c r="E50" i="6"/>
  <c r="E70" i="6" s="1"/>
  <c r="E48" i="6" s="1"/>
  <c r="D65" i="6"/>
  <c r="C65" i="6"/>
  <c r="K65" i="6"/>
  <c r="F65" i="6"/>
  <c r="H65" i="6"/>
  <c r="E65" i="6"/>
  <c r="Q44" i="6"/>
  <c r="I65" i="6"/>
  <c r="L65" i="6"/>
  <c r="G65" i="6"/>
  <c r="J65" i="6"/>
  <c r="F54" i="6"/>
  <c r="C53" i="40"/>
  <c r="D53" i="40" s="1"/>
  <c r="D54" i="40" s="1"/>
  <c r="C61" i="40" s="1"/>
  <c r="F23" i="2"/>
  <c r="C147" i="43"/>
  <c r="O35" i="34"/>
  <c r="J56" i="34"/>
  <c r="H56" i="34"/>
  <c r="K56" i="34"/>
  <c r="D56" i="34"/>
  <c r="C56" i="34"/>
  <c r="F56" i="34"/>
  <c r="G56" i="34"/>
  <c r="I56" i="34"/>
  <c r="F24" i="2"/>
  <c r="F25" i="2" s="1"/>
  <c r="S4" i="41" s="1"/>
  <c r="L56" i="34"/>
  <c r="E56" i="34"/>
  <c r="C201" i="43"/>
  <c r="B272" i="5"/>
  <c r="B212" i="5"/>
  <c r="J30" i="9"/>
  <c r="C145" i="43"/>
  <c r="O6" i="45"/>
  <c r="O7" i="45" s="1"/>
  <c r="J67" i="6"/>
  <c r="F67" i="6"/>
  <c r="D67" i="6"/>
  <c r="L67" i="6"/>
  <c r="G67" i="6"/>
  <c r="O67" i="6"/>
  <c r="C67" i="6"/>
  <c r="K67" i="6"/>
  <c r="H67" i="6"/>
  <c r="E67" i="6"/>
  <c r="Q46" i="6"/>
  <c r="D62" i="34"/>
  <c r="F62" i="34"/>
  <c r="K62" i="34"/>
  <c r="L62" i="34"/>
  <c r="J62" i="34"/>
  <c r="H62" i="34"/>
  <c r="C62" i="34"/>
  <c r="M62" i="34"/>
  <c r="I62" i="34"/>
  <c r="O42" i="34"/>
  <c r="F11" i="10"/>
  <c r="B51" i="5" s="1"/>
  <c r="C78" i="6"/>
  <c r="F78" i="6"/>
  <c r="D78" i="6"/>
  <c r="Q5" i="50"/>
  <c r="F57" i="9"/>
  <c r="D64" i="6"/>
  <c r="L64" i="6"/>
  <c r="F61" i="6"/>
  <c r="G61" i="6"/>
  <c r="G57" i="6"/>
  <c r="O57" i="6"/>
  <c r="L57" i="6"/>
  <c r="D55" i="34"/>
  <c r="I55" i="34"/>
  <c r="C55" i="34"/>
  <c r="C61" i="34"/>
  <c r="G61" i="34"/>
  <c r="F61" i="34"/>
  <c r="C22" i="39"/>
  <c r="C62" i="39" s="1"/>
  <c r="E62" i="39" s="1"/>
  <c r="B26" i="56"/>
  <c r="K57" i="6"/>
  <c r="C64" i="6"/>
  <c r="H61" i="6"/>
  <c r="K61" i="6"/>
  <c r="L55" i="34"/>
  <c r="E55" i="34"/>
  <c r="B240" i="5"/>
  <c r="R86" i="3"/>
  <c r="J78" i="6"/>
  <c r="O78" i="6"/>
  <c r="F57" i="6"/>
  <c r="F55" i="34"/>
  <c r="I64" i="6"/>
  <c r="M61" i="34"/>
  <c r="O41" i="34"/>
  <c r="E57" i="6"/>
  <c r="O61" i="6"/>
  <c r="H64" i="6"/>
  <c r="J64" i="6"/>
  <c r="G86" i="3"/>
  <c r="Q43" i="6"/>
  <c r="Q36" i="6"/>
  <c r="K55" i="6"/>
  <c r="L55" i="6"/>
  <c r="G55" i="6"/>
  <c r="M55" i="6"/>
  <c r="D50" i="34"/>
  <c r="F50" i="34"/>
  <c r="L6" i="6"/>
  <c r="H51" i="6"/>
  <c r="D51" i="6"/>
  <c r="D70" i="6" s="1"/>
  <c r="D48" i="6" s="1"/>
  <c r="O51" i="6"/>
  <c r="L53" i="6"/>
  <c r="H57" i="6"/>
  <c r="F64" i="6"/>
  <c r="Q40" i="6"/>
  <c r="J61" i="6"/>
  <c r="C51" i="6"/>
  <c r="K50" i="34"/>
  <c r="I50" i="34"/>
  <c r="H55" i="34"/>
  <c r="I78" i="6"/>
  <c r="H78" i="6"/>
  <c r="J55" i="6"/>
  <c r="E61" i="34"/>
  <c r="D57" i="6"/>
  <c r="K53" i="6"/>
  <c r="K55" i="34"/>
  <c r="E50" i="34"/>
  <c r="M57" i="6"/>
  <c r="G53" i="6"/>
  <c r="L7" i="34"/>
  <c r="D61" i="34"/>
  <c r="I57" i="6"/>
  <c r="E71" i="34"/>
  <c r="D71" i="34"/>
  <c r="O64" i="6"/>
  <c r="AF69" i="3"/>
  <c r="D39" i="35"/>
  <c r="D7" i="4"/>
  <c r="D63" i="34"/>
  <c r="J63" i="34"/>
  <c r="C63" i="34"/>
  <c r="O44" i="34"/>
  <c r="H64" i="34"/>
  <c r="D64" i="34"/>
  <c r="K51" i="34"/>
  <c r="E51" i="34"/>
  <c r="M51" i="34"/>
  <c r="I21" i="36"/>
  <c r="E10" i="3"/>
  <c r="F50" i="35"/>
  <c r="F44" i="35" s="1"/>
  <c r="C205" i="43" s="1"/>
  <c r="I89" i="1"/>
  <c r="L89" i="1" s="1"/>
  <c r="D23" i="46"/>
  <c r="D25" i="46" s="1"/>
  <c r="L47" i="35"/>
  <c r="L50" i="35" s="1"/>
  <c r="E9" i="18" s="1"/>
  <c r="M47" i="35"/>
  <c r="M50" i="35" s="1"/>
  <c r="C47" i="35"/>
  <c r="L13" i="3"/>
  <c r="I100" i="1" s="1"/>
  <c r="K100" i="1" s="1"/>
  <c r="I88" i="7"/>
  <c r="F97" i="7" s="1"/>
  <c r="M97" i="7" s="1"/>
  <c r="E11" i="3"/>
  <c r="B49" i="3"/>
  <c r="I25" i="3"/>
  <c r="C19" i="39"/>
  <c r="C60" i="39" s="1"/>
  <c r="E60" i="39" s="1"/>
  <c r="B19" i="39"/>
  <c r="A26" i="56"/>
  <c r="B27" i="56"/>
  <c r="A25" i="56"/>
  <c r="O17" i="36"/>
  <c r="AE2" i="117"/>
  <c r="F7" i="4"/>
  <c r="B237" i="5"/>
  <c r="J5" i="44" s="1"/>
  <c r="N28" i="6"/>
  <c r="M28" i="6"/>
  <c r="M26" i="34" s="1"/>
  <c r="M38" i="34" s="1"/>
  <c r="C32" i="40"/>
  <c r="C34" i="40" s="1"/>
  <c r="C25" i="59" s="1"/>
  <c r="Q40" i="35"/>
  <c r="D46" i="35"/>
  <c r="D50" i="35" s="1"/>
  <c r="D44" i="35" s="1"/>
  <c r="B215" i="5" s="1"/>
  <c r="N46" i="35"/>
  <c r="N50" i="35" s="1"/>
  <c r="N44" i="35" s="1"/>
  <c r="E55" i="18" s="1"/>
  <c r="L44" i="35"/>
  <c r="E53" i="18" s="1"/>
  <c r="J46" i="35"/>
  <c r="J50" i="35" s="1"/>
  <c r="J44" i="35" s="1"/>
  <c r="E7" i="18" s="1"/>
  <c r="C92" i="43" s="1"/>
  <c r="E46" i="35"/>
  <c r="E50" i="35" s="1"/>
  <c r="E44" i="35" s="1"/>
  <c r="B244" i="5" s="1"/>
  <c r="AD68" i="3"/>
  <c r="B32" i="5" s="1"/>
  <c r="B9" i="56" s="1"/>
  <c r="G76" i="3"/>
  <c r="F4" i="39"/>
  <c r="F8" i="39" s="1"/>
  <c r="AF75" i="3"/>
  <c r="AD75" i="3"/>
  <c r="B34" i="5" s="1"/>
  <c r="B11" i="56" s="1"/>
  <c r="F39" i="3"/>
  <c r="D26" i="3" s="1"/>
  <c r="D31" i="70" s="1"/>
  <c r="D24" i="70" s="1"/>
  <c r="AD2" i="117"/>
  <c r="L69" i="1"/>
  <c r="L64" i="1"/>
  <c r="E4" i="41"/>
  <c r="D8" i="70" s="1"/>
  <c r="E21" i="73" s="1"/>
  <c r="H20" i="70"/>
  <c r="J24" i="73" s="1"/>
  <c r="B56" i="74"/>
  <c r="I70" i="1"/>
  <c r="C32" i="75" s="1"/>
  <c r="J70" i="1"/>
  <c r="E35" i="2" s="1"/>
  <c r="F253" i="7"/>
  <c r="O253" i="7" s="1"/>
  <c r="F257" i="7"/>
  <c r="I257" i="7" s="1"/>
  <c r="F187" i="7"/>
  <c r="I187" i="7" s="1"/>
  <c r="B34" i="70"/>
  <c r="D44" i="73" s="1"/>
  <c r="B28" i="3" s="1"/>
  <c r="B23" i="5"/>
  <c r="M38" i="4"/>
  <c r="M14" i="4" s="1"/>
  <c r="M15" i="4" s="1"/>
  <c r="F54" i="18" s="1"/>
  <c r="D38" i="4"/>
  <c r="D14" i="4" s="1"/>
  <c r="D15" i="4" s="1"/>
  <c r="B213" i="5" s="1"/>
  <c r="E38" i="4"/>
  <c r="E14" i="4" s="1"/>
  <c r="E15" i="4" s="1"/>
  <c r="C173" i="43" s="1"/>
  <c r="K38" i="4"/>
  <c r="K14" i="4" s="1"/>
  <c r="G38" i="4"/>
  <c r="G14" i="4" s="1"/>
  <c r="O38" i="4"/>
  <c r="O14" i="4" s="1"/>
  <c r="O15" i="4" s="1"/>
  <c r="F24" i="18" s="1"/>
  <c r="F111" i="18" s="1"/>
  <c r="I38" i="4"/>
  <c r="I14" i="4" s="1"/>
  <c r="B24" i="56"/>
  <c r="C21" i="39"/>
  <c r="C66" i="39" s="1"/>
  <c r="E66" i="39" s="1"/>
  <c r="B44" i="5"/>
  <c r="B24" i="46"/>
  <c r="E24" i="46" s="1"/>
  <c r="B29" i="54" s="1"/>
  <c r="O13" i="75"/>
  <c r="H51" i="70" s="1"/>
  <c r="E11" i="18"/>
  <c r="V68" i="3"/>
  <c r="Z75" i="3"/>
  <c r="Z68" i="3"/>
  <c r="J69" i="3"/>
  <c r="I76" i="3"/>
  <c r="E41" i="73"/>
  <c r="C43" i="3"/>
  <c r="F26" i="3"/>
  <c r="K13" i="4"/>
  <c r="G13" i="4"/>
  <c r="J13" i="4"/>
  <c r="H13" i="4"/>
  <c r="H39" i="18"/>
  <c r="F39" i="35"/>
  <c r="B269" i="5"/>
  <c r="K5" i="44" s="1"/>
  <c r="I19" i="36"/>
  <c r="C21" i="40"/>
  <c r="G16" i="36"/>
  <c r="O11" i="74"/>
  <c r="O12" i="74" s="1"/>
  <c r="P11" i="74"/>
  <c r="U2" i="117"/>
  <c r="C12" i="74"/>
  <c r="H17" i="2"/>
  <c r="R4" i="41"/>
  <c r="G37" i="2"/>
  <c r="S2" i="117"/>
  <c r="C59" i="36"/>
  <c r="C96" i="36" s="1"/>
  <c r="C63" i="36"/>
  <c r="C100" i="36" s="1"/>
  <c r="C52" i="62"/>
  <c r="B6" i="9"/>
  <c r="B35" i="9" s="1"/>
  <c r="B17" i="36" s="1"/>
  <c r="B9" i="36" s="1"/>
  <c r="N17" i="36" s="1"/>
  <c r="D24" i="7"/>
  <c r="C250" i="7"/>
  <c r="D22" i="7"/>
  <c r="B24" i="51"/>
  <c r="C30" i="43"/>
  <c r="A10" i="46" s="1"/>
  <c r="I136" i="7"/>
  <c r="F141" i="7" s="1"/>
  <c r="I141" i="7" s="1"/>
  <c r="D16" i="7"/>
  <c r="F267" i="7"/>
  <c r="M267" i="7" s="1"/>
  <c r="E20" i="7"/>
  <c r="I20" i="7" s="1"/>
  <c r="F288" i="7"/>
  <c r="N288" i="7" s="1"/>
  <c r="F265" i="7"/>
  <c r="I265" i="7" s="1"/>
  <c r="E17" i="7"/>
  <c r="F399" i="7"/>
  <c r="I399" i="7" s="1"/>
  <c r="F330" i="7"/>
  <c r="I330" i="7" s="1"/>
  <c r="F280" i="7"/>
  <c r="N280" i="7" s="1"/>
  <c r="F259" i="7"/>
  <c r="O259" i="7" s="1"/>
  <c r="E69" i="36"/>
  <c r="D48" i="62" s="1"/>
  <c r="A26" i="18"/>
  <c r="C387" i="7"/>
  <c r="F307" i="7"/>
  <c r="N307" i="7" s="1"/>
  <c r="F261" i="7"/>
  <c r="I261" i="7" s="1"/>
  <c r="F224" i="7"/>
  <c r="I224" i="7" s="1"/>
  <c r="F176" i="7"/>
  <c r="I176" i="7" s="1"/>
  <c r="C6" i="50"/>
  <c r="Q6" i="50" s="1"/>
  <c r="D7" i="59"/>
  <c r="C61" i="43"/>
  <c r="A11" i="46" s="1"/>
  <c r="F263" i="7"/>
  <c r="M263" i="7" s="1"/>
  <c r="D15" i="7"/>
  <c r="C54" i="36"/>
  <c r="C91" i="36" s="1"/>
  <c r="E100" i="1"/>
  <c r="C114" i="43"/>
  <c r="A13" i="46" s="1"/>
  <c r="B9" i="9"/>
  <c r="B38" i="9" s="1"/>
  <c r="F305" i="7"/>
  <c r="O305" i="7" s="1"/>
  <c r="D19" i="7"/>
  <c r="B10" i="9"/>
  <c r="B39" i="9" s="1"/>
  <c r="B152" i="5"/>
  <c r="M39" i="70" s="1"/>
  <c r="D88" i="7"/>
  <c r="B8" i="9"/>
  <c r="B37" i="9" s="1"/>
  <c r="B19" i="36" s="1"/>
  <c r="B11" i="36" s="1"/>
  <c r="N19" i="36" s="1"/>
  <c r="H64" i="7"/>
  <c r="F303" i="7"/>
  <c r="N303" i="7" s="1"/>
  <c r="F286" i="7"/>
  <c r="F219" i="7"/>
  <c r="M219" i="7" s="1"/>
  <c r="B177" i="5"/>
  <c r="M40" i="70" s="1"/>
  <c r="D112" i="7"/>
  <c r="D21" i="7"/>
  <c r="C87" i="43"/>
  <c r="A12" i="46" s="1"/>
  <c r="E72" i="36"/>
  <c r="D51" i="62" s="1"/>
  <c r="F297" i="7"/>
  <c r="F285" i="7"/>
  <c r="M285" i="7" s="1"/>
  <c r="F178" i="7"/>
  <c r="I178" i="7" s="1"/>
  <c r="C65" i="18"/>
  <c r="C73" i="18" s="1"/>
  <c r="C82" i="18" s="1"/>
  <c r="C90" i="18" s="1"/>
  <c r="C43" i="18"/>
  <c r="C51" i="18" s="1"/>
  <c r="C42" i="18"/>
  <c r="C50" i="18" s="1"/>
  <c r="C64" i="18"/>
  <c r="C72" i="18" s="1"/>
  <c r="C81" i="18" s="1"/>
  <c r="C89" i="18" s="1"/>
  <c r="I320" i="7"/>
  <c r="O320" i="7"/>
  <c r="F407" i="7"/>
  <c r="I407" i="7" s="1"/>
  <c r="F391" i="7"/>
  <c r="I391" i="7" s="1"/>
  <c r="F370" i="7"/>
  <c r="O370" i="7" s="1"/>
  <c r="F326" i="7"/>
  <c r="N326" i="7" s="1"/>
  <c r="F209" i="7"/>
  <c r="F214" i="7"/>
  <c r="M214" i="7" s="1"/>
  <c r="F217" i="7"/>
  <c r="F222" i="7"/>
  <c r="E27" i="7"/>
  <c r="C205" i="7"/>
  <c r="F208" i="7"/>
  <c r="F212" i="7"/>
  <c r="F215" i="7"/>
  <c r="F220" i="7"/>
  <c r="I220" i="7" s="1"/>
  <c r="F223" i="7"/>
  <c r="I223" i="7" s="1"/>
  <c r="F225" i="7"/>
  <c r="I225" i="7" s="1"/>
  <c r="E97" i="1"/>
  <c r="C44" i="18"/>
  <c r="C52" i="18" s="1"/>
  <c r="C62" i="36"/>
  <c r="C99" i="36" s="1"/>
  <c r="D64" i="7"/>
  <c r="C40" i="18"/>
  <c r="C48" i="18" s="1"/>
  <c r="B72" i="5"/>
  <c r="D40" i="7"/>
  <c r="C3" i="43"/>
  <c r="A9" i="46" s="1"/>
  <c r="D25" i="7"/>
  <c r="C26" i="18"/>
  <c r="F401" i="7"/>
  <c r="I401" i="7" s="1"/>
  <c r="F378" i="7"/>
  <c r="F218" i="7"/>
  <c r="F213" i="7"/>
  <c r="F195" i="7"/>
  <c r="M195" i="7" s="1"/>
  <c r="F368" i="7"/>
  <c r="O368" i="7" s="1"/>
  <c r="F367" i="7"/>
  <c r="N367" i="7" s="1"/>
  <c r="F373" i="7"/>
  <c r="I373" i="7" s="1"/>
  <c r="F380" i="7"/>
  <c r="I380" i="7" s="1"/>
  <c r="F395" i="7"/>
  <c r="I395" i="7" s="1"/>
  <c r="F403" i="7"/>
  <c r="I403" i="7" s="1"/>
  <c r="F375" i="7"/>
  <c r="F381" i="7"/>
  <c r="I381" i="7" s="1"/>
  <c r="F397" i="7"/>
  <c r="I397" i="7" s="1"/>
  <c r="F405" i="7"/>
  <c r="I405" i="7" s="1"/>
  <c r="F390" i="7"/>
  <c r="I390" i="7" s="1"/>
  <c r="F364" i="7"/>
  <c r="F319" i="7"/>
  <c r="I319" i="7" s="1"/>
  <c r="F322" i="7"/>
  <c r="O322" i="7" s="1"/>
  <c r="F331" i="7"/>
  <c r="F324" i="7"/>
  <c r="O324" i="7" s="1"/>
  <c r="F329" i="7"/>
  <c r="F332" i="7"/>
  <c r="M332" i="7" s="1"/>
  <c r="E23" i="7"/>
  <c r="F318" i="7"/>
  <c r="I318" i="7" s="1"/>
  <c r="C315" i="7"/>
  <c r="F233" i="7"/>
  <c r="N233" i="7" s="1"/>
  <c r="F241" i="7"/>
  <c r="I241" i="7" s="1"/>
  <c r="F186" i="7"/>
  <c r="I186" i="7" s="1"/>
  <c r="F185" i="7"/>
  <c r="F189" i="7"/>
  <c r="F193" i="7"/>
  <c r="F197" i="7"/>
  <c r="O197" i="7" s="1"/>
  <c r="F200" i="7"/>
  <c r="I200" i="7" s="1"/>
  <c r="C181" i="7"/>
  <c r="F201" i="7"/>
  <c r="I201" i="7" s="1"/>
  <c r="F184" i="7"/>
  <c r="I184" i="7" s="1"/>
  <c r="D17" i="7"/>
  <c r="C54" i="62"/>
  <c r="C63" i="18"/>
  <c r="C71" i="18" s="1"/>
  <c r="C80" i="18" s="1"/>
  <c r="C88" i="18" s="1"/>
  <c r="C41" i="18"/>
  <c r="C49" i="18" s="1"/>
  <c r="F408" i="7"/>
  <c r="I408" i="7" s="1"/>
  <c r="F393" i="7"/>
  <c r="I393" i="7" s="1"/>
  <c r="F372" i="7"/>
  <c r="M372" i="7" s="1"/>
  <c r="F343" i="7"/>
  <c r="O343" i="7" s="1"/>
  <c r="F348" i="7"/>
  <c r="M348" i="7" s="1"/>
  <c r="F356" i="7"/>
  <c r="I356" i="7" s="1"/>
  <c r="F328" i="7"/>
  <c r="F275" i="7"/>
  <c r="O275" i="7" s="1"/>
  <c r="F276" i="7"/>
  <c r="M276" i="7" s="1"/>
  <c r="F284" i="7"/>
  <c r="O284" i="7" s="1"/>
  <c r="E21" i="7"/>
  <c r="C271" i="7"/>
  <c r="F274" i="7"/>
  <c r="F278" i="7"/>
  <c r="N278" i="7" s="1"/>
  <c r="F287" i="7"/>
  <c r="F221" i="7"/>
  <c r="F210" i="7"/>
  <c r="F199" i="7"/>
  <c r="I199" i="7" s="1"/>
  <c r="F191" i="7"/>
  <c r="A18" i="18"/>
  <c r="D9" i="59"/>
  <c r="A23" i="18"/>
  <c r="E78" i="36"/>
  <c r="D57" i="62" s="1"/>
  <c r="F355" i="7"/>
  <c r="I355" i="7" s="1"/>
  <c r="F347" i="7"/>
  <c r="F353" i="7"/>
  <c r="I353" i="7" s="1"/>
  <c r="F345" i="7"/>
  <c r="I345" i="7" s="1"/>
  <c r="N339" i="7"/>
  <c r="F350" i="7"/>
  <c r="F340" i="7"/>
  <c r="I340" i="7" s="1"/>
  <c r="F295" i="7"/>
  <c r="I295" i="7" s="1"/>
  <c r="C292" i="7"/>
  <c r="F309" i="7"/>
  <c r="F306" i="7"/>
  <c r="F301" i="7"/>
  <c r="I301" i="7" s="1"/>
  <c r="E22" i="7"/>
  <c r="F308" i="7"/>
  <c r="F299" i="7"/>
  <c r="N299" i="7" s="1"/>
  <c r="E77" i="36"/>
  <c r="D56" i="62" s="1"/>
  <c r="F342" i="7"/>
  <c r="O342" i="7" s="1"/>
  <c r="Q8" i="50"/>
  <c r="O296" i="7"/>
  <c r="I296" i="7"/>
  <c r="M296" i="7"/>
  <c r="N296" i="7"/>
  <c r="M320" i="7"/>
  <c r="O282" i="7"/>
  <c r="N320" i="7"/>
  <c r="I282" i="7"/>
  <c r="N282" i="7"/>
  <c r="F327" i="7"/>
  <c r="F325" i="7"/>
  <c r="F323" i="7"/>
  <c r="F321" i="7"/>
  <c r="F304" i="7"/>
  <c r="F302" i="7"/>
  <c r="F300" i="7"/>
  <c r="F298" i="7"/>
  <c r="F283" i="7"/>
  <c r="I283" i="7" s="1"/>
  <c r="F281" i="7"/>
  <c r="F279" i="7"/>
  <c r="F277" i="7"/>
  <c r="E19" i="7"/>
  <c r="F256" i="7"/>
  <c r="F254" i="7"/>
  <c r="F239" i="7"/>
  <c r="F266" i="7"/>
  <c r="F264" i="7"/>
  <c r="F262" i="7"/>
  <c r="F260" i="7"/>
  <c r="F258" i="7"/>
  <c r="F244" i="7"/>
  <c r="A20" i="18"/>
  <c r="F255" i="7"/>
  <c r="F242" i="7"/>
  <c r="I242" i="7" s="1"/>
  <c r="F232" i="7"/>
  <c r="I232" i="7" s="1"/>
  <c r="C8" i="59"/>
  <c r="C15" i="59" s="1"/>
  <c r="V4" i="41" s="1"/>
  <c r="K116" i="1"/>
  <c r="O162" i="7"/>
  <c r="I162" i="7"/>
  <c r="N162" i="7"/>
  <c r="M162" i="7"/>
  <c r="F173" i="7"/>
  <c r="C158" i="7"/>
  <c r="F161" i="7"/>
  <c r="I161" i="7" s="1"/>
  <c r="E16" i="7"/>
  <c r="F177" i="7"/>
  <c r="I177" i="7" s="1"/>
  <c r="F175" i="7"/>
  <c r="I175" i="7" s="1"/>
  <c r="F171" i="7"/>
  <c r="F169" i="7"/>
  <c r="F167" i="7"/>
  <c r="F165" i="7"/>
  <c r="F163" i="7"/>
  <c r="E74" i="36"/>
  <c r="D53" i="62" s="1"/>
  <c r="F198" i="7"/>
  <c r="I198" i="7" s="1"/>
  <c r="F196" i="7"/>
  <c r="F194" i="7"/>
  <c r="F192" i="7"/>
  <c r="F190" i="7"/>
  <c r="F188" i="7"/>
  <c r="F174" i="7"/>
  <c r="F172" i="7"/>
  <c r="F170" i="7"/>
  <c r="F168" i="7"/>
  <c r="F166" i="7"/>
  <c r="F164" i="7"/>
  <c r="J92" i="1"/>
  <c r="L92" i="1" s="1"/>
  <c r="I97" i="1"/>
  <c r="K97" i="1" s="1"/>
  <c r="J10" i="3"/>
  <c r="J9" i="73"/>
  <c r="H7" i="70"/>
  <c r="T1" i="117" s="1"/>
  <c r="M2" i="4"/>
  <c r="I2" i="7"/>
  <c r="F2" i="35"/>
  <c r="I2" i="2"/>
  <c r="J4" i="73"/>
  <c r="O2" i="75"/>
  <c r="I2" i="8"/>
  <c r="P2" i="74"/>
  <c r="H3" i="70"/>
  <c r="L2" i="1"/>
  <c r="J2" i="3"/>
  <c r="H21" i="70"/>
  <c r="V2" i="117" s="1"/>
  <c r="J38" i="4"/>
  <c r="J14" i="4" s="1"/>
  <c r="O216" i="7"/>
  <c r="I216" i="7"/>
  <c r="N216" i="7"/>
  <c r="L82" i="1"/>
  <c r="F11" i="73"/>
  <c r="N365" i="7"/>
  <c r="O365" i="7"/>
  <c r="C361" i="7"/>
  <c r="F404" i="7"/>
  <c r="I404" i="7" s="1"/>
  <c r="F402" i="7"/>
  <c r="I402" i="7" s="1"/>
  <c r="F400" i="7"/>
  <c r="I400" i="7" s="1"/>
  <c r="F398" i="7"/>
  <c r="I398" i="7" s="1"/>
  <c r="F396" i="7"/>
  <c r="I396" i="7" s="1"/>
  <c r="F394" i="7"/>
  <c r="I394" i="7" s="1"/>
  <c r="F392" i="7"/>
  <c r="I392" i="7" s="1"/>
  <c r="F382" i="7"/>
  <c r="I382" i="7" s="1"/>
  <c r="F377" i="7"/>
  <c r="F374" i="7"/>
  <c r="F369" i="7"/>
  <c r="F366" i="7"/>
  <c r="O366" i="7" s="1"/>
  <c r="M365" i="7"/>
  <c r="E25" i="7"/>
  <c r="F379" i="7"/>
  <c r="I379" i="7" s="1"/>
  <c r="F376" i="7"/>
  <c r="F371" i="7"/>
  <c r="O339" i="7"/>
  <c r="C336" i="7"/>
  <c r="E24" i="7"/>
  <c r="F357" i="7"/>
  <c r="I357" i="7" s="1"/>
  <c r="F352" i="7"/>
  <c r="F349" i="7"/>
  <c r="I349" i="7" s="1"/>
  <c r="F344" i="7"/>
  <c r="F341" i="7"/>
  <c r="I341" i="7" s="1"/>
  <c r="F354" i="7"/>
  <c r="I354" i="7" s="1"/>
  <c r="F351" i="7"/>
  <c r="N351" i="7" s="1"/>
  <c r="F346" i="7"/>
  <c r="C40" i="40"/>
  <c r="C30" i="59"/>
  <c r="C58" i="40"/>
  <c r="L28" i="6"/>
  <c r="C29" i="59"/>
  <c r="I96" i="1"/>
  <c r="K96" i="1" s="1"/>
  <c r="J9" i="3"/>
  <c r="H40" i="7"/>
  <c r="F50" i="7" s="1"/>
  <c r="J17" i="36"/>
  <c r="C23" i="43"/>
  <c r="C49" i="62"/>
  <c r="E76" i="36"/>
  <c r="D55" i="62" s="1"/>
  <c r="C55" i="62"/>
  <c r="C229" i="7"/>
  <c r="F246" i="7"/>
  <c r="F243" i="7"/>
  <c r="N243" i="7" s="1"/>
  <c r="F238" i="7"/>
  <c r="F234" i="7"/>
  <c r="C28" i="75"/>
  <c r="F245" i="7"/>
  <c r="I245" i="7" s="1"/>
  <c r="F240" i="7"/>
  <c r="F237" i="7"/>
  <c r="I237" i="7" s="1"/>
  <c r="C24" i="1"/>
  <c r="C34" i="1"/>
  <c r="F31" i="37"/>
  <c r="A40" i="37" s="1"/>
  <c r="K43" i="1"/>
  <c r="K45" i="1" s="1"/>
  <c r="C38" i="1"/>
  <c r="D4" i="41"/>
  <c r="D7" i="70" s="1"/>
  <c r="C2" i="117" s="1"/>
  <c r="F235" i="7"/>
  <c r="C15" i="3"/>
  <c r="I112" i="7"/>
  <c r="L12" i="3"/>
  <c r="C50" i="62"/>
  <c r="J18" i="36"/>
  <c r="H28" i="6"/>
  <c r="H39" i="35" s="1"/>
  <c r="E71" i="36"/>
  <c r="D50" i="62" s="1"/>
  <c r="N68" i="3"/>
  <c r="I4" i="44"/>
  <c r="A15" i="54"/>
  <c r="M138" i="7"/>
  <c r="N138" i="7"/>
  <c r="O138" i="7"/>
  <c r="N2" i="117"/>
  <c r="G37" i="70"/>
  <c r="B208" i="5"/>
  <c r="I5" i="44" s="1"/>
  <c r="O42" i="7"/>
  <c r="O114" i="7"/>
  <c r="N114" i="7"/>
  <c r="H22" i="36"/>
  <c r="E7" i="4"/>
  <c r="F16" i="36"/>
  <c r="E39" i="35"/>
  <c r="M114" i="7"/>
  <c r="M42" i="7"/>
  <c r="K19" i="48"/>
  <c r="H2" i="53"/>
  <c r="M90" i="7"/>
  <c r="N90" i="7"/>
  <c r="O19" i="36"/>
  <c r="I17" i="36"/>
  <c r="O66" i="7"/>
  <c r="O18" i="36"/>
  <c r="M66" i="7"/>
  <c r="B8" i="56"/>
  <c r="I18" i="36"/>
  <c r="F9" i="73"/>
  <c r="C54" i="43"/>
  <c r="C38" i="4"/>
  <c r="C14" i="4" s="1"/>
  <c r="F38" i="4"/>
  <c r="F14" i="4" s="1"/>
  <c r="F15" i="4" s="1"/>
  <c r="B274" i="5" s="1"/>
  <c r="H38" i="4"/>
  <c r="H14" i="4" s="1"/>
  <c r="N38" i="4"/>
  <c r="N14" i="4" s="1"/>
  <c r="N15" i="4" s="1"/>
  <c r="F11" i="18" s="1"/>
  <c r="L38" i="4"/>
  <c r="L14" i="4" s="1"/>
  <c r="L15" i="4" s="1"/>
  <c r="F53" i="18" s="1"/>
  <c r="M44" i="35" l="1"/>
  <c r="E54" i="18" s="1"/>
  <c r="E10" i="18"/>
  <c r="E13" i="18" s="1"/>
  <c r="E30" i="18" s="1"/>
  <c r="E115" i="18" s="1"/>
  <c r="C50" i="35"/>
  <c r="C44" i="35" s="1"/>
  <c r="B53" i="5" s="1"/>
  <c r="AF76" i="3"/>
  <c r="AE76" i="3"/>
  <c r="B51" i="74"/>
  <c r="B276" i="5"/>
  <c r="C148" i="43"/>
  <c r="I35" i="8"/>
  <c r="H37" i="8" s="1"/>
  <c r="D85" i="39"/>
  <c r="C33" i="40"/>
  <c r="C24" i="59" s="1"/>
  <c r="C13" i="40"/>
  <c r="J26" i="73"/>
  <c r="J21" i="36"/>
  <c r="K21" i="36" s="1"/>
  <c r="L21" i="36" s="1"/>
  <c r="C13" i="36" s="1"/>
  <c r="C18" i="62" s="1"/>
  <c r="B15" i="59"/>
  <c r="U4" i="41" s="1"/>
  <c r="B13" i="40"/>
  <c r="G13" i="3"/>
  <c r="K42" i="18"/>
  <c r="D42" i="18" s="1"/>
  <c r="I89" i="18" s="1"/>
  <c r="J13" i="3"/>
  <c r="Q13" i="3" s="1"/>
  <c r="K13" i="3" s="1"/>
  <c r="I267" i="7"/>
  <c r="C133" i="43"/>
  <c r="C28" i="74"/>
  <c r="K15" i="50"/>
  <c r="C30" i="75"/>
  <c r="I72" i="1"/>
  <c r="C35" i="2"/>
  <c r="N187" i="7"/>
  <c r="C32" i="2"/>
  <c r="C31" i="74"/>
  <c r="C36" i="2"/>
  <c r="O211" i="7"/>
  <c r="M7" i="4"/>
  <c r="C31" i="75"/>
  <c r="C33" i="2"/>
  <c r="C30" i="74"/>
  <c r="C29" i="74"/>
  <c r="C29" i="75"/>
  <c r="E32" i="2"/>
  <c r="O187" i="7"/>
  <c r="C34" i="2"/>
  <c r="C32" i="74"/>
  <c r="I13" i="4"/>
  <c r="B13" i="4" s="1"/>
  <c r="B15" i="4" s="1"/>
  <c r="B13" i="5" s="1"/>
  <c r="B131" i="5"/>
  <c r="B63" i="9"/>
  <c r="E4" i="44"/>
  <c r="C2" i="53" s="1"/>
  <c r="O274" i="7"/>
  <c r="I274" i="7"/>
  <c r="M38" i="70"/>
  <c r="F4" i="44"/>
  <c r="A12" i="54"/>
  <c r="D4" i="44"/>
  <c r="A51" i="44" s="1"/>
  <c r="M36" i="70"/>
  <c r="N364" i="7"/>
  <c r="I364" i="7"/>
  <c r="M208" i="7"/>
  <c r="I208" i="7"/>
  <c r="B6" i="18"/>
  <c r="E12" i="7"/>
  <c r="C63" i="7"/>
  <c r="I259" i="7"/>
  <c r="M211" i="7"/>
  <c r="I214" i="7"/>
  <c r="N211" i="7"/>
  <c r="O265" i="7"/>
  <c r="O372" i="7"/>
  <c r="F102" i="7"/>
  <c r="M102" i="7" s="1"/>
  <c r="O220" i="7"/>
  <c r="M253" i="7"/>
  <c r="I97" i="7"/>
  <c r="N97" i="7"/>
  <c r="E13" i="7"/>
  <c r="F105" i="7"/>
  <c r="I105" i="7" s="1"/>
  <c r="F96" i="7"/>
  <c r="O96" i="7" s="1"/>
  <c r="F95" i="7"/>
  <c r="O95" i="7" s="1"/>
  <c r="F101" i="7"/>
  <c r="O101" i="7" s="1"/>
  <c r="F103" i="7"/>
  <c r="N103" i="7" s="1"/>
  <c r="N267" i="7"/>
  <c r="F104" i="7"/>
  <c r="I104" i="7" s="1"/>
  <c r="F106" i="7"/>
  <c r="I106" i="7" s="1"/>
  <c r="C76" i="43"/>
  <c r="E76" i="43" s="1"/>
  <c r="C156" i="43"/>
  <c r="M261" i="7"/>
  <c r="D41" i="3"/>
  <c r="D43" i="3"/>
  <c r="D42" i="3"/>
  <c r="L76" i="6"/>
  <c r="J76" i="6"/>
  <c r="F76" i="6"/>
  <c r="D76" i="6"/>
  <c r="I76" i="6"/>
  <c r="G76" i="6"/>
  <c r="O76" i="6"/>
  <c r="C76" i="6"/>
  <c r="L24" i="6"/>
  <c r="B10" i="5" s="1"/>
  <c r="M76" i="6"/>
  <c r="K76" i="6"/>
  <c r="K94" i="6" s="1"/>
  <c r="H76" i="6"/>
  <c r="E76" i="6"/>
  <c r="E94" i="6" s="1"/>
  <c r="E49" i="6" s="1"/>
  <c r="J77" i="6"/>
  <c r="H77" i="6"/>
  <c r="M77" i="6"/>
  <c r="L77" i="6"/>
  <c r="F77" i="6"/>
  <c r="E77" i="6"/>
  <c r="K77" i="6"/>
  <c r="O77" i="6"/>
  <c r="C77" i="6"/>
  <c r="D77" i="6"/>
  <c r="G77" i="6"/>
  <c r="I77" i="6"/>
  <c r="C297" i="5"/>
  <c r="C30" i="36" s="1"/>
  <c r="F32" i="37"/>
  <c r="B7" i="44"/>
  <c r="B42" i="44" s="1"/>
  <c r="F70" i="6"/>
  <c r="F48" i="6" s="1"/>
  <c r="D66" i="34"/>
  <c r="D45" i="34" s="1"/>
  <c r="B223" i="5" s="1"/>
  <c r="E66" i="34"/>
  <c r="E45" i="34" s="1"/>
  <c r="B251" i="5" s="1"/>
  <c r="O97" i="7"/>
  <c r="K28" i="6"/>
  <c r="K7" i="4" s="1"/>
  <c r="E2" i="117"/>
  <c r="E33" i="2"/>
  <c r="G28" i="6"/>
  <c r="G7" i="4" s="1"/>
  <c r="D40" i="18"/>
  <c r="B35" i="70"/>
  <c r="B36" i="70" s="1"/>
  <c r="F93" i="7"/>
  <c r="M93" i="7" s="1"/>
  <c r="F107" i="7"/>
  <c r="I107" i="7" s="1"/>
  <c r="F92" i="7"/>
  <c r="M92" i="7" s="1"/>
  <c r="F100" i="7"/>
  <c r="N100" i="7" s="1"/>
  <c r="F91" i="7"/>
  <c r="I91" i="7" s="1"/>
  <c r="C35" i="40"/>
  <c r="C26" i="59" s="1"/>
  <c r="J57" i="9"/>
  <c r="B241" i="5"/>
  <c r="D88" i="9"/>
  <c r="C172" i="43"/>
  <c r="C24" i="39"/>
  <c r="B28" i="56"/>
  <c r="E23" i="10"/>
  <c r="O70" i="6"/>
  <c r="O48" i="6" s="1"/>
  <c r="G24" i="18" s="1"/>
  <c r="L70" i="6"/>
  <c r="L48" i="6" s="1"/>
  <c r="M70" i="6"/>
  <c r="M48" i="6" s="1"/>
  <c r="L66" i="34"/>
  <c r="L45" i="34" s="1"/>
  <c r="C66" i="34"/>
  <c r="F66" i="34"/>
  <c r="F45" i="34" s="1"/>
  <c r="B50" i="3"/>
  <c r="I26" i="3"/>
  <c r="C79" i="6"/>
  <c r="I79" i="6"/>
  <c r="E79" i="6"/>
  <c r="F79" i="6"/>
  <c r="M79" i="6"/>
  <c r="O79" i="6"/>
  <c r="H79" i="6"/>
  <c r="D79" i="6"/>
  <c r="K79" i="6"/>
  <c r="G79" i="6"/>
  <c r="L79" i="6"/>
  <c r="J79" i="6"/>
  <c r="K70" i="6"/>
  <c r="K48" i="6" s="1"/>
  <c r="G8" i="18" s="1"/>
  <c r="C127" i="43" s="1"/>
  <c r="C70" i="6"/>
  <c r="J70" i="6"/>
  <c r="J48" i="6" s="1"/>
  <c r="G7" i="18" s="1"/>
  <c r="C100" i="43" s="1"/>
  <c r="C18" i="43"/>
  <c r="H66" i="34"/>
  <c r="H45" i="34" s="1"/>
  <c r="I5" i="18" s="1"/>
  <c r="C45" i="43" s="1"/>
  <c r="AF4" i="41"/>
  <c r="K44" i="18"/>
  <c r="D44" i="18" s="1"/>
  <c r="G83" i="18" s="1"/>
  <c r="B40" i="37"/>
  <c r="F99" i="7"/>
  <c r="M99" i="7" s="1"/>
  <c r="F98" i="7"/>
  <c r="M98" i="7" s="1"/>
  <c r="F94" i="7"/>
  <c r="O94" i="7" s="1"/>
  <c r="C87" i="7"/>
  <c r="C54" i="40"/>
  <c r="C28" i="6"/>
  <c r="C26" i="34" s="1"/>
  <c r="C38" i="34" s="1"/>
  <c r="L70" i="34"/>
  <c r="L86" i="34" s="1"/>
  <c r="L46" i="34" s="1"/>
  <c r="M70" i="34"/>
  <c r="M86" i="34" s="1"/>
  <c r="M46" i="34" s="1"/>
  <c r="C70" i="34"/>
  <c r="C86" i="34" s="1"/>
  <c r="C46" i="34" s="1"/>
  <c r="K70" i="34"/>
  <c r="K86" i="34" s="1"/>
  <c r="K46" i="34" s="1"/>
  <c r="J8" i="18" s="1"/>
  <c r="C122" i="43" s="1"/>
  <c r="F70" i="34"/>
  <c r="F86" i="34" s="1"/>
  <c r="F46" i="34" s="1"/>
  <c r="L23" i="34"/>
  <c r="B11" i="5" s="1"/>
  <c r="H70" i="34"/>
  <c r="H86" i="34" s="1"/>
  <c r="H46" i="34" s="1"/>
  <c r="J5" i="18" s="1"/>
  <c r="C38" i="43" s="1"/>
  <c r="I70" i="34"/>
  <c r="I86" i="34" s="1"/>
  <c r="I46" i="34" s="1"/>
  <c r="J6" i="18" s="1"/>
  <c r="C69" i="43" s="1"/>
  <c r="D70" i="34"/>
  <c r="D86" i="34" s="1"/>
  <c r="D46" i="34" s="1"/>
  <c r="G70" i="34"/>
  <c r="G86" i="34" s="1"/>
  <c r="G46" i="34" s="1"/>
  <c r="J4" i="18" s="1"/>
  <c r="C11" i="43" s="1"/>
  <c r="J70" i="34"/>
  <c r="J86" i="34" s="1"/>
  <c r="J46" i="34" s="1"/>
  <c r="J7" i="18" s="1"/>
  <c r="C95" i="43" s="1"/>
  <c r="E70" i="34"/>
  <c r="E86" i="34" s="1"/>
  <c r="E46" i="34" s="1"/>
  <c r="H70" i="6"/>
  <c r="H48" i="6" s="1"/>
  <c r="G5" i="18" s="1"/>
  <c r="C44" i="43" s="1"/>
  <c r="G70" i="6"/>
  <c r="G48" i="6" s="1"/>
  <c r="M66" i="34"/>
  <c r="M45" i="34" s="1"/>
  <c r="K66" i="34"/>
  <c r="K45" i="34" s="1"/>
  <c r="I8" i="18" s="1"/>
  <c r="C128" i="43" s="1"/>
  <c r="I66" i="34"/>
  <c r="I45" i="34" s="1"/>
  <c r="I6" i="18" s="1"/>
  <c r="C75" i="43" s="1"/>
  <c r="J66" i="34"/>
  <c r="J45" i="34" s="1"/>
  <c r="I7" i="18" s="1"/>
  <c r="C101" i="43" s="1"/>
  <c r="D19" i="39"/>
  <c r="D24" i="39"/>
  <c r="D20" i="39"/>
  <c r="D23" i="39"/>
  <c r="D22" i="39"/>
  <c r="F9" i="39"/>
  <c r="C19" i="59" s="1"/>
  <c r="K15" i="4"/>
  <c r="F8" i="18" s="1"/>
  <c r="C120" i="43" s="1"/>
  <c r="M39" i="35"/>
  <c r="F10" i="18"/>
  <c r="B242" i="5"/>
  <c r="G15" i="4"/>
  <c r="F4" i="18" s="1"/>
  <c r="C9" i="43" s="1"/>
  <c r="F306" i="5"/>
  <c r="P44" i="35"/>
  <c r="Q44" i="35" s="1"/>
  <c r="C81" i="36" s="1"/>
  <c r="I81" i="36" s="1"/>
  <c r="C175" i="43"/>
  <c r="P50" i="35"/>
  <c r="P51" i="35" s="1"/>
  <c r="C13" i="4"/>
  <c r="D83" i="39" s="1"/>
  <c r="AC4" i="41"/>
  <c r="AA4" i="41"/>
  <c r="B30" i="5"/>
  <c r="B7" i="56" s="1"/>
  <c r="N67" i="3"/>
  <c r="C28" i="40"/>
  <c r="C22" i="59" s="1"/>
  <c r="D2" i="117"/>
  <c r="O353" i="7"/>
  <c r="M280" i="7"/>
  <c r="I288" i="7"/>
  <c r="I71" i="1"/>
  <c r="F33" i="2" s="1"/>
  <c r="E34" i="2"/>
  <c r="J72" i="1"/>
  <c r="E36" i="2"/>
  <c r="H15" i="50"/>
  <c r="I253" i="7"/>
  <c r="N253" i="7"/>
  <c r="M187" i="7"/>
  <c r="K26" i="48"/>
  <c r="B12" i="44"/>
  <c r="AI2" i="117"/>
  <c r="J54" i="73"/>
  <c r="D21" i="39"/>
  <c r="C17" i="39"/>
  <c r="D17" i="39" s="1"/>
  <c r="B21" i="56"/>
  <c r="C26" i="51"/>
  <c r="AD69" i="3"/>
  <c r="V69" i="3"/>
  <c r="J76" i="3"/>
  <c r="Z69" i="3"/>
  <c r="H41" i="70"/>
  <c r="AF2" i="117" s="1"/>
  <c r="C29" i="40"/>
  <c r="C37" i="40" s="1"/>
  <c r="AB4" i="41"/>
  <c r="Z4" i="41" s="1"/>
  <c r="BS4" i="41"/>
  <c r="F41" i="73"/>
  <c r="B4" i="61"/>
  <c r="C17" i="51"/>
  <c r="D40" i="3"/>
  <c r="F40" i="3" s="1"/>
  <c r="C36" i="40"/>
  <c r="C27" i="59" s="1"/>
  <c r="H15" i="4"/>
  <c r="F5" i="18" s="1"/>
  <c r="F49" i="18" s="1"/>
  <c r="J15" i="4"/>
  <c r="F7" i="18" s="1"/>
  <c r="F143" i="7"/>
  <c r="M143" i="7" s="1"/>
  <c r="F144" i="7"/>
  <c r="I144" i="7" s="1"/>
  <c r="C146" i="43"/>
  <c r="M141" i="7"/>
  <c r="F145" i="7"/>
  <c r="O145" i="7" s="1"/>
  <c r="F147" i="7"/>
  <c r="N147" i="7" s="1"/>
  <c r="L15" i="3"/>
  <c r="J15" i="3" s="1"/>
  <c r="B44" i="74"/>
  <c r="P12" i="74"/>
  <c r="BP4" i="41"/>
  <c r="C35" i="59"/>
  <c r="M275" i="7"/>
  <c r="O280" i="7"/>
  <c r="O288" i="7"/>
  <c r="I280" i="7"/>
  <c r="M319" i="7"/>
  <c r="M288" i="7"/>
  <c r="I278" i="7"/>
  <c r="C135" i="7"/>
  <c r="N141" i="7"/>
  <c r="F148" i="7"/>
  <c r="O148" i="7" s="1"/>
  <c r="M15" i="50"/>
  <c r="F15" i="50"/>
  <c r="E15" i="50"/>
  <c r="I305" i="7"/>
  <c r="E15" i="7"/>
  <c r="G11" i="3"/>
  <c r="M370" i="7"/>
  <c r="A10" i="54"/>
  <c r="F146" i="7"/>
  <c r="M146" i="7" s="1"/>
  <c r="F152" i="7"/>
  <c r="I152" i="7" s="1"/>
  <c r="L15" i="50"/>
  <c r="M265" i="7"/>
  <c r="M305" i="7"/>
  <c r="B62" i="9"/>
  <c r="O307" i="7"/>
  <c r="F154" i="7"/>
  <c r="M152" i="7" s="1"/>
  <c r="F149" i="7"/>
  <c r="N149" i="7" s="1"/>
  <c r="O141" i="7"/>
  <c r="F153" i="7"/>
  <c r="B8" i="18"/>
  <c r="F151" i="7"/>
  <c r="O151" i="7" s="1"/>
  <c r="M237" i="7"/>
  <c r="I233" i="7"/>
  <c r="I15" i="50"/>
  <c r="N263" i="7"/>
  <c r="M259" i="7"/>
  <c r="J15" i="50"/>
  <c r="N259" i="7"/>
  <c r="I307" i="7"/>
  <c r="F155" i="7"/>
  <c r="I153" i="7" s="1"/>
  <c r="F140" i="7"/>
  <c r="M140" i="7" s="1"/>
  <c r="F139" i="7"/>
  <c r="N139" i="7" s="1"/>
  <c r="F142" i="7"/>
  <c r="N142" i="7" s="1"/>
  <c r="F150" i="7"/>
  <c r="I150" i="7" s="1"/>
  <c r="N15" i="50"/>
  <c r="D15" i="50"/>
  <c r="P15" i="50" s="1"/>
  <c r="O15" i="50"/>
  <c r="G15" i="50"/>
  <c r="N265" i="7"/>
  <c r="O267" i="7"/>
  <c r="M307" i="7"/>
  <c r="F81" i="7"/>
  <c r="I81" i="7" s="1"/>
  <c r="O373" i="7"/>
  <c r="M330" i="7"/>
  <c r="F69" i="7"/>
  <c r="N69" i="7" s="1"/>
  <c r="B5" i="18"/>
  <c r="O233" i="7"/>
  <c r="I326" i="7"/>
  <c r="N319" i="7"/>
  <c r="F72" i="7"/>
  <c r="O72" i="7" s="1"/>
  <c r="B64" i="9"/>
  <c r="F74" i="7"/>
  <c r="N74" i="7" s="1"/>
  <c r="F71" i="7"/>
  <c r="O71" i="7" s="1"/>
  <c r="F78" i="7"/>
  <c r="M78" i="7" s="1"/>
  <c r="M233" i="7"/>
  <c r="O242" i="7"/>
  <c r="N242" i="7"/>
  <c r="O340" i="7"/>
  <c r="N340" i="7"/>
  <c r="N261" i="7"/>
  <c r="O261" i="7"/>
  <c r="M326" i="7"/>
  <c r="F67" i="7"/>
  <c r="I67" i="7" s="1"/>
  <c r="N285" i="7"/>
  <c r="O285" i="7"/>
  <c r="D9" i="8"/>
  <c r="O330" i="7"/>
  <c r="F70" i="7"/>
  <c r="N70" i="7" s="1"/>
  <c r="F73" i="7"/>
  <c r="M73" i="7" s="1"/>
  <c r="F80" i="7"/>
  <c r="N80" i="7" s="1"/>
  <c r="F75" i="7"/>
  <c r="M75" i="7" s="1"/>
  <c r="M345" i="7"/>
  <c r="N345" i="7"/>
  <c r="N366" i="7"/>
  <c r="F79" i="7"/>
  <c r="O79" i="7" s="1"/>
  <c r="M301" i="7"/>
  <c r="I275" i="7"/>
  <c r="N305" i="7"/>
  <c r="C80" i="43"/>
  <c r="N330" i="7"/>
  <c r="I285" i="7"/>
  <c r="A11" i="54"/>
  <c r="J19" i="36"/>
  <c r="K19" i="36" s="1"/>
  <c r="L19" i="36" s="1"/>
  <c r="C11" i="36" s="1"/>
  <c r="I98" i="1"/>
  <c r="K98" i="1" s="1"/>
  <c r="L98" i="1" s="1"/>
  <c r="I28" i="6"/>
  <c r="E71" i="18"/>
  <c r="M303" i="7"/>
  <c r="I303" i="7"/>
  <c r="I263" i="7"/>
  <c r="O263" i="7"/>
  <c r="O303" i="7"/>
  <c r="O20" i="36"/>
  <c r="O22" i="36" s="1"/>
  <c r="P22" i="36" s="1"/>
  <c r="C14" i="36" s="1"/>
  <c r="K18" i="36"/>
  <c r="L18" i="36" s="1"/>
  <c r="C10" i="36" s="1"/>
  <c r="D10" i="36" s="1"/>
  <c r="D15" i="62" s="1"/>
  <c r="N208" i="7"/>
  <c r="Q17" i="50"/>
  <c r="Q18" i="50" s="1"/>
  <c r="Q15" i="50"/>
  <c r="N212" i="7"/>
  <c r="I212" i="7"/>
  <c r="N222" i="7"/>
  <c r="M222" i="7"/>
  <c r="M297" i="7"/>
  <c r="N297" i="7"/>
  <c r="I297" i="7"/>
  <c r="O297" i="7"/>
  <c r="O286" i="7"/>
  <c r="M286" i="7"/>
  <c r="N286" i="7"/>
  <c r="C52" i="36"/>
  <c r="C89" i="36" s="1"/>
  <c r="D13" i="7"/>
  <c r="B20" i="36"/>
  <c r="B12" i="36" s="1"/>
  <c r="B65" i="9"/>
  <c r="I374" i="7"/>
  <c r="N374" i="7"/>
  <c r="I348" i="7"/>
  <c r="O348" i="7"/>
  <c r="M186" i="7"/>
  <c r="O186" i="7"/>
  <c r="N186" i="7"/>
  <c r="M218" i="7"/>
  <c r="N218" i="7"/>
  <c r="O218" i="7"/>
  <c r="I218" i="7"/>
  <c r="F53" i="7"/>
  <c r="N53" i="7" s="1"/>
  <c r="E11" i="7"/>
  <c r="F58" i="7"/>
  <c r="H58" i="7" s="1"/>
  <c r="O222" i="7"/>
  <c r="I222" i="7"/>
  <c r="N236" i="7"/>
  <c r="M236" i="7"/>
  <c r="I239" i="7"/>
  <c r="N239" i="7"/>
  <c r="M324" i="7"/>
  <c r="I286" i="7"/>
  <c r="D8" i="59"/>
  <c r="I8" i="59" s="1"/>
  <c r="N348" i="7"/>
  <c r="I49" i="18"/>
  <c r="G88" i="18"/>
  <c r="I80" i="18"/>
  <c r="O350" i="7"/>
  <c r="N350" i="7"/>
  <c r="I347" i="7"/>
  <c r="O347" i="7"/>
  <c r="O278" i="7"/>
  <c r="M278" i="7"/>
  <c r="A13" i="54"/>
  <c r="G4" i="44"/>
  <c r="M343" i="7"/>
  <c r="N368" i="7"/>
  <c r="O208" i="7"/>
  <c r="N276" i="7"/>
  <c r="D14" i="7"/>
  <c r="C53" i="36"/>
  <c r="C90" i="36" s="1"/>
  <c r="B66" i="9"/>
  <c r="B21" i="36"/>
  <c r="B13" i="36" s="1"/>
  <c r="I64" i="18"/>
  <c r="B143" i="5" s="1"/>
  <c r="M58" i="70" s="1"/>
  <c r="H26" i="34"/>
  <c r="H38" i="34" s="1"/>
  <c r="F77" i="7"/>
  <c r="N77" i="7" s="1"/>
  <c r="F68" i="7"/>
  <c r="I68" i="7" s="1"/>
  <c r="F83" i="7"/>
  <c r="I83" i="7" s="1"/>
  <c r="O241" i="7"/>
  <c r="M242" i="7"/>
  <c r="I343" i="7"/>
  <c r="I368" i="7"/>
  <c r="F76" i="7"/>
  <c r="O326" i="7"/>
  <c r="N275" i="7"/>
  <c r="F82" i="7"/>
  <c r="I82" i="7" s="1"/>
  <c r="A14" i="54"/>
  <c r="H4" i="44"/>
  <c r="I219" i="7"/>
  <c r="N219" i="7"/>
  <c r="O219" i="7"/>
  <c r="I210" i="7"/>
  <c r="N210" i="7"/>
  <c r="O210" i="7"/>
  <c r="N274" i="7"/>
  <c r="M274" i="7"/>
  <c r="O193" i="7"/>
  <c r="I193" i="7"/>
  <c r="N193" i="7"/>
  <c r="M193" i="7"/>
  <c r="I331" i="7"/>
  <c r="M331" i="7"/>
  <c r="O331" i="7"/>
  <c r="N331" i="7"/>
  <c r="I378" i="7"/>
  <c r="O378" i="7"/>
  <c r="C51" i="36"/>
  <c r="C88" i="36" s="1"/>
  <c r="D12" i="7"/>
  <c r="I217" i="7"/>
  <c r="O217" i="7"/>
  <c r="M217" i="7"/>
  <c r="N217" i="7"/>
  <c r="E49" i="18"/>
  <c r="N343" i="7"/>
  <c r="N353" i="7"/>
  <c r="M340" i="7"/>
  <c r="N378" i="7"/>
  <c r="M373" i="7"/>
  <c r="M368" i="7"/>
  <c r="O276" i="7"/>
  <c r="O319" i="7"/>
  <c r="M221" i="7"/>
  <c r="N221" i="7"/>
  <c r="I221" i="7"/>
  <c r="O221" i="7"/>
  <c r="O328" i="7"/>
  <c r="I328" i="7"/>
  <c r="N328" i="7"/>
  <c r="M328" i="7"/>
  <c r="I372" i="7"/>
  <c r="N372" i="7"/>
  <c r="N189" i="7"/>
  <c r="I189" i="7"/>
  <c r="O189" i="7"/>
  <c r="M189" i="7"/>
  <c r="O332" i="7"/>
  <c r="N332" i="7"/>
  <c r="I332" i="7"/>
  <c r="I322" i="7"/>
  <c r="M322" i="7"/>
  <c r="N322" i="7"/>
  <c r="M364" i="7"/>
  <c r="O364" i="7"/>
  <c r="O195" i="7"/>
  <c r="N195" i="7"/>
  <c r="I195" i="7"/>
  <c r="C50" i="36"/>
  <c r="C87" i="36" s="1"/>
  <c r="D11" i="7"/>
  <c r="N220" i="7"/>
  <c r="M220" i="7"/>
  <c r="O214" i="7"/>
  <c r="N214" i="7"/>
  <c r="I370" i="7"/>
  <c r="N370" i="7"/>
  <c r="N191" i="7"/>
  <c r="I191" i="7"/>
  <c r="O191" i="7"/>
  <c r="M191" i="7"/>
  <c r="I287" i="7"/>
  <c r="O287" i="7"/>
  <c r="N287" i="7"/>
  <c r="M287" i="7"/>
  <c r="N185" i="7"/>
  <c r="I185" i="7"/>
  <c r="O185" i="7"/>
  <c r="M185" i="7"/>
  <c r="I329" i="7"/>
  <c r="O329" i="7"/>
  <c r="M329" i="7"/>
  <c r="N329" i="7"/>
  <c r="O375" i="7"/>
  <c r="M375" i="7"/>
  <c r="I375" i="7"/>
  <c r="N375" i="7"/>
  <c r="O213" i="7"/>
  <c r="M213" i="7"/>
  <c r="N213" i="7"/>
  <c r="I213" i="7"/>
  <c r="I215" i="7"/>
  <c r="O215" i="7"/>
  <c r="M215" i="7"/>
  <c r="N215" i="7"/>
  <c r="M209" i="7"/>
  <c r="I209" i="7"/>
  <c r="N209" i="7"/>
  <c r="O209" i="7"/>
  <c r="I88" i="18"/>
  <c r="F54" i="7"/>
  <c r="H54" i="7" s="1"/>
  <c r="H7" i="4"/>
  <c r="M241" i="7"/>
  <c r="O239" i="7"/>
  <c r="M353" i="7"/>
  <c r="G24" i="7"/>
  <c r="M378" i="7"/>
  <c r="I409" i="7"/>
  <c r="D11" i="18" s="1"/>
  <c r="D55" i="18" s="1"/>
  <c r="N373" i="7"/>
  <c r="N241" i="7"/>
  <c r="I276" i="7"/>
  <c r="N284" i="7"/>
  <c r="I284" i="7"/>
  <c r="M284" i="7"/>
  <c r="O184" i="7"/>
  <c r="N184" i="7"/>
  <c r="M184" i="7"/>
  <c r="N197" i="7"/>
  <c r="M197" i="7"/>
  <c r="I197" i="7"/>
  <c r="N318" i="7"/>
  <c r="O318" i="7"/>
  <c r="M318" i="7"/>
  <c r="I324" i="7"/>
  <c r="N324" i="7"/>
  <c r="M367" i="7"/>
  <c r="I367" i="7"/>
  <c r="O367" i="7"/>
  <c r="M212" i="7"/>
  <c r="O212" i="7"/>
  <c r="M350" i="7"/>
  <c r="M347" i="7"/>
  <c r="I350" i="7"/>
  <c r="O345" i="7"/>
  <c r="N347" i="7"/>
  <c r="I306" i="7"/>
  <c r="M306" i="7"/>
  <c r="N306" i="7"/>
  <c r="O306" i="7"/>
  <c r="I299" i="7"/>
  <c r="M299" i="7"/>
  <c r="O299" i="7"/>
  <c r="O309" i="7"/>
  <c r="M309" i="7"/>
  <c r="I309" i="7"/>
  <c r="N309" i="7"/>
  <c r="I308" i="7"/>
  <c r="O308" i="7"/>
  <c r="N308" i="7"/>
  <c r="M308" i="7"/>
  <c r="O301" i="7"/>
  <c r="N301" i="7"/>
  <c r="M295" i="7"/>
  <c r="N295" i="7"/>
  <c r="O295" i="7"/>
  <c r="O341" i="7"/>
  <c r="N341" i="7"/>
  <c r="O349" i="7"/>
  <c r="M341" i="7"/>
  <c r="N342" i="7"/>
  <c r="I342" i="7"/>
  <c r="M342" i="7"/>
  <c r="O298" i="7"/>
  <c r="I298" i="7"/>
  <c r="N298" i="7"/>
  <c r="M298" i="7"/>
  <c r="O279" i="7"/>
  <c r="I279" i="7"/>
  <c r="N279" i="7"/>
  <c r="M279" i="7"/>
  <c r="O323" i="7"/>
  <c r="I323" i="7"/>
  <c r="M323" i="7"/>
  <c r="N323" i="7"/>
  <c r="M283" i="7"/>
  <c r="O283" i="7"/>
  <c r="N283" i="7"/>
  <c r="N304" i="7"/>
  <c r="O304" i="7"/>
  <c r="M304" i="7"/>
  <c r="M327" i="7"/>
  <c r="O327" i="7"/>
  <c r="N327" i="7"/>
  <c r="I327" i="7"/>
  <c r="M277" i="7"/>
  <c r="O277" i="7"/>
  <c r="I277" i="7"/>
  <c r="N277" i="7"/>
  <c r="N321" i="7"/>
  <c r="M321" i="7"/>
  <c r="O321" i="7"/>
  <c r="I321" i="7"/>
  <c r="M300" i="7"/>
  <c r="N300" i="7"/>
  <c r="I300" i="7"/>
  <c r="O300" i="7"/>
  <c r="M281" i="7"/>
  <c r="N281" i="7"/>
  <c r="O281" i="7"/>
  <c r="I281" i="7"/>
  <c r="N302" i="7"/>
  <c r="O302" i="7"/>
  <c r="I302" i="7"/>
  <c r="M302" i="7"/>
  <c r="N325" i="7"/>
  <c r="O325" i="7"/>
  <c r="I325" i="7"/>
  <c r="M325" i="7"/>
  <c r="I304" i="7"/>
  <c r="N257" i="7"/>
  <c r="O257" i="7"/>
  <c r="M257" i="7"/>
  <c r="I260" i="7"/>
  <c r="O260" i="7"/>
  <c r="M260" i="7"/>
  <c r="N260" i="7"/>
  <c r="O256" i="7"/>
  <c r="N256" i="7"/>
  <c r="I256" i="7"/>
  <c r="M256" i="7"/>
  <c r="N4" i="41"/>
  <c r="W4" i="41" s="1"/>
  <c r="N245" i="7"/>
  <c r="M232" i="7"/>
  <c r="N232" i="7"/>
  <c r="O262" i="7"/>
  <c r="N262" i="7"/>
  <c r="I262" i="7"/>
  <c r="M262" i="7"/>
  <c r="O236" i="7"/>
  <c r="O232" i="7"/>
  <c r="G16" i="7"/>
  <c r="D19" i="70" s="1"/>
  <c r="L2" i="117" s="1"/>
  <c r="N244" i="7"/>
  <c r="I244" i="7"/>
  <c r="M244" i="7"/>
  <c r="O244" i="7"/>
  <c r="N264" i="7"/>
  <c r="I264" i="7"/>
  <c r="M264" i="7"/>
  <c r="O264" i="7"/>
  <c r="I236" i="7"/>
  <c r="M239" i="7"/>
  <c r="N255" i="7"/>
  <c r="I255" i="7"/>
  <c r="M255" i="7"/>
  <c r="O255" i="7"/>
  <c r="O258" i="7"/>
  <c r="M258" i="7"/>
  <c r="I258" i="7"/>
  <c r="N258" i="7"/>
  <c r="M266" i="7"/>
  <c r="N266" i="7"/>
  <c r="I266" i="7"/>
  <c r="O266" i="7"/>
  <c r="N254" i="7"/>
  <c r="O254" i="7"/>
  <c r="I254" i="7"/>
  <c r="M254" i="7"/>
  <c r="O164" i="7"/>
  <c r="I164" i="7"/>
  <c r="M164" i="7"/>
  <c r="N164" i="7"/>
  <c r="I172" i="7"/>
  <c r="O172" i="7"/>
  <c r="N172" i="7"/>
  <c r="M172" i="7"/>
  <c r="M192" i="7"/>
  <c r="N192" i="7"/>
  <c r="I192" i="7"/>
  <c r="O192" i="7"/>
  <c r="M163" i="7"/>
  <c r="O163" i="7"/>
  <c r="N163" i="7"/>
  <c r="I163" i="7"/>
  <c r="N166" i="7"/>
  <c r="O166" i="7"/>
  <c r="M166" i="7"/>
  <c r="I166" i="7"/>
  <c r="N174" i="7"/>
  <c r="M174" i="7"/>
  <c r="O174" i="7"/>
  <c r="I174" i="7"/>
  <c r="O194" i="7"/>
  <c r="I194" i="7"/>
  <c r="M194" i="7"/>
  <c r="N194" i="7"/>
  <c r="M165" i="7"/>
  <c r="I165" i="7"/>
  <c r="O165" i="7"/>
  <c r="N165" i="7"/>
  <c r="M175" i="7"/>
  <c r="O175" i="7"/>
  <c r="N175" i="7"/>
  <c r="M161" i="7"/>
  <c r="N161" i="7"/>
  <c r="O161" i="7"/>
  <c r="AC2" i="117"/>
  <c r="I170" i="7"/>
  <c r="N170" i="7"/>
  <c r="M170" i="7"/>
  <c r="O170" i="7"/>
  <c r="N190" i="7"/>
  <c r="I190" i="7"/>
  <c r="O190" i="7"/>
  <c r="M190" i="7"/>
  <c r="O198" i="7"/>
  <c r="N198" i="7"/>
  <c r="M198" i="7"/>
  <c r="M169" i="7"/>
  <c r="O169" i="7"/>
  <c r="N169" i="7"/>
  <c r="I169" i="7"/>
  <c r="O171" i="7"/>
  <c r="M171" i="7"/>
  <c r="I171" i="7"/>
  <c r="N171" i="7"/>
  <c r="I168" i="7"/>
  <c r="N168" i="7"/>
  <c r="O168" i="7"/>
  <c r="M168" i="7"/>
  <c r="O188" i="7"/>
  <c r="M188" i="7"/>
  <c r="I188" i="7"/>
  <c r="N188" i="7"/>
  <c r="M196" i="7"/>
  <c r="O196" i="7"/>
  <c r="I196" i="7"/>
  <c r="N196" i="7"/>
  <c r="N167" i="7"/>
  <c r="O167" i="7"/>
  <c r="M167" i="7"/>
  <c r="I167" i="7"/>
  <c r="M173" i="7"/>
  <c r="I173" i="7"/>
  <c r="O173" i="7"/>
  <c r="N173" i="7"/>
  <c r="J71" i="18"/>
  <c r="G63" i="18"/>
  <c r="B114" i="5" s="1"/>
  <c r="G49" i="18"/>
  <c r="E80" i="18"/>
  <c r="G80" i="18"/>
  <c r="F59" i="7"/>
  <c r="M59" i="7" s="1"/>
  <c r="O50" i="7"/>
  <c r="E88" i="18"/>
  <c r="F57" i="7"/>
  <c r="H57" i="7" s="1"/>
  <c r="E63" i="18"/>
  <c r="B105" i="5" s="1"/>
  <c r="F49" i="7"/>
  <c r="O49" i="7" s="1"/>
  <c r="F43" i="7"/>
  <c r="N43" i="7" s="1"/>
  <c r="F46" i="7"/>
  <c r="H46" i="7" s="1"/>
  <c r="F55" i="18"/>
  <c r="F9" i="18"/>
  <c r="B30" i="56"/>
  <c r="C26" i="39"/>
  <c r="I376" i="7"/>
  <c r="O376" i="7"/>
  <c r="N376" i="7"/>
  <c r="M376" i="7"/>
  <c r="O377" i="7"/>
  <c r="M377" i="7"/>
  <c r="N377" i="7"/>
  <c r="I377" i="7"/>
  <c r="M374" i="7"/>
  <c r="I366" i="7"/>
  <c r="M366" i="7"/>
  <c r="O374" i="7"/>
  <c r="O371" i="7"/>
  <c r="I371" i="7"/>
  <c r="M371" i="7"/>
  <c r="N371" i="7"/>
  <c r="N369" i="7"/>
  <c r="M369" i="7"/>
  <c r="O369" i="7"/>
  <c r="I369" i="7"/>
  <c r="I346" i="7"/>
  <c r="O346" i="7"/>
  <c r="M346" i="7"/>
  <c r="N346" i="7"/>
  <c r="N344" i="7"/>
  <c r="M344" i="7"/>
  <c r="I344" i="7"/>
  <c r="O344" i="7"/>
  <c r="I351" i="7"/>
  <c r="M351" i="7"/>
  <c r="M349" i="7"/>
  <c r="N349" i="7"/>
  <c r="N352" i="7"/>
  <c r="I352" i="7"/>
  <c r="O352" i="7"/>
  <c r="M352" i="7"/>
  <c r="O351" i="7"/>
  <c r="L26" i="34"/>
  <c r="L38" i="34" s="1"/>
  <c r="L7" i="4"/>
  <c r="L39" i="35"/>
  <c r="C59" i="40"/>
  <c r="C63" i="40" s="1"/>
  <c r="C62" i="40"/>
  <c r="Q9" i="3"/>
  <c r="K9" i="3" s="1"/>
  <c r="D7" i="8"/>
  <c r="K17" i="36"/>
  <c r="L17" i="36" s="1"/>
  <c r="C9" i="36" s="1"/>
  <c r="F55" i="7"/>
  <c r="N55" i="7" s="1"/>
  <c r="F51" i="7"/>
  <c r="M51" i="7" s="1"/>
  <c r="F56" i="7"/>
  <c r="H56" i="7" s="1"/>
  <c r="F48" i="7"/>
  <c r="N48" i="7" s="1"/>
  <c r="F47" i="7"/>
  <c r="O47" i="7" s="1"/>
  <c r="F45" i="7"/>
  <c r="H45" i="7" s="1"/>
  <c r="B4" i="18"/>
  <c r="F52" i="7"/>
  <c r="O52" i="7" s="1"/>
  <c r="F44" i="7"/>
  <c r="H44" i="7" s="1"/>
  <c r="M238" i="7"/>
  <c r="N238" i="7"/>
  <c r="I238" i="7"/>
  <c r="O238" i="7"/>
  <c r="O237" i="7"/>
  <c r="I240" i="7"/>
  <c r="N240" i="7"/>
  <c r="O240" i="7"/>
  <c r="M240" i="7"/>
  <c r="I243" i="7"/>
  <c r="O243" i="7"/>
  <c r="M243" i="7"/>
  <c r="N237" i="7"/>
  <c r="O246" i="7"/>
  <c r="M246" i="7"/>
  <c r="I246" i="7"/>
  <c r="N246" i="7"/>
  <c r="M245" i="7"/>
  <c r="O245" i="7"/>
  <c r="N234" i="7"/>
  <c r="M234" i="7"/>
  <c r="O234" i="7"/>
  <c r="I234" i="7"/>
  <c r="M235" i="7"/>
  <c r="I235" i="7"/>
  <c r="O235" i="7"/>
  <c r="N235" i="7"/>
  <c r="D68" i="36"/>
  <c r="K43" i="18"/>
  <c r="D43" i="18" s="1"/>
  <c r="I99" i="1"/>
  <c r="K99" i="1" s="1"/>
  <c r="C107" i="43"/>
  <c r="J20" i="36"/>
  <c r="K20" i="36" s="1"/>
  <c r="L20" i="36" s="1"/>
  <c r="C12" i="36" s="1"/>
  <c r="J28" i="6"/>
  <c r="J12" i="3"/>
  <c r="G12" i="3"/>
  <c r="F130" i="7"/>
  <c r="I130" i="7" s="1"/>
  <c r="F117" i="7"/>
  <c r="F120" i="7"/>
  <c r="F123" i="7"/>
  <c r="F126" i="7"/>
  <c r="F129" i="7"/>
  <c r="I129" i="7" s="1"/>
  <c r="F118" i="7"/>
  <c r="F124" i="7"/>
  <c r="B7" i="18"/>
  <c r="F115" i="7"/>
  <c r="F127" i="7"/>
  <c r="F116" i="7"/>
  <c r="F119" i="7"/>
  <c r="F122" i="7"/>
  <c r="F125" i="7"/>
  <c r="F128" i="7"/>
  <c r="F131" i="7"/>
  <c r="I131" i="7" s="1"/>
  <c r="C111" i="7"/>
  <c r="E14" i="7"/>
  <c r="F121" i="7"/>
  <c r="Q10" i="3"/>
  <c r="K10" i="3" s="1"/>
  <c r="D8" i="8"/>
  <c r="K18" i="48"/>
  <c r="G2" i="53"/>
  <c r="I2" i="54"/>
  <c r="AA2" i="117"/>
  <c r="E23" i="73"/>
  <c r="N17" i="3"/>
  <c r="C203" i="43"/>
  <c r="N18" i="3"/>
  <c r="E24" i="73"/>
  <c r="AB2" i="117"/>
  <c r="Q37" i="4"/>
  <c r="J88" i="18" l="1"/>
  <c r="J49" i="18"/>
  <c r="J80" i="18"/>
  <c r="G64" i="18"/>
  <c r="B142" i="5" s="1"/>
  <c r="M57" i="70" s="1"/>
  <c r="E87" i="18"/>
  <c r="I62" i="18"/>
  <c r="B87" i="5" s="1"/>
  <c r="C93" i="43"/>
  <c r="F51" i="18"/>
  <c r="J72" i="18"/>
  <c r="J63" i="18"/>
  <c r="B108" i="5" s="1"/>
  <c r="Y2" i="117"/>
  <c r="D13" i="36"/>
  <c r="D18" i="62" s="1"/>
  <c r="G72" i="18"/>
  <c r="E72" i="18"/>
  <c r="G89" i="18"/>
  <c r="D11" i="8"/>
  <c r="G11" i="8" s="1"/>
  <c r="C10" i="9" s="1"/>
  <c r="H15" i="7"/>
  <c r="C15" i="4"/>
  <c r="C65" i="39" s="1"/>
  <c r="E65" i="39" s="1"/>
  <c r="D84" i="39" s="1"/>
  <c r="H12" i="7"/>
  <c r="J50" i="18"/>
  <c r="I72" i="18"/>
  <c r="G81" i="18"/>
  <c r="E64" i="18"/>
  <c r="B136" i="5" s="1"/>
  <c r="M51" i="70" s="1"/>
  <c r="E89" i="18"/>
  <c r="E50" i="18"/>
  <c r="I50" i="18"/>
  <c r="E81" i="18"/>
  <c r="I81" i="18"/>
  <c r="G50" i="18"/>
  <c r="B2" i="53"/>
  <c r="E74" i="18"/>
  <c r="F34" i="2"/>
  <c r="I73" i="1"/>
  <c r="E2" i="54"/>
  <c r="K14" i="48"/>
  <c r="I15" i="4"/>
  <c r="F6" i="18" s="1"/>
  <c r="F13" i="18" s="1"/>
  <c r="F30" i="18" s="1"/>
  <c r="F115" i="18" s="1"/>
  <c r="B133" i="5"/>
  <c r="M46" i="70"/>
  <c r="D2" i="54"/>
  <c r="K13" i="48"/>
  <c r="K39" i="35"/>
  <c r="F2" i="54"/>
  <c r="D2" i="53"/>
  <c r="K15" i="48"/>
  <c r="G39" i="35"/>
  <c r="H13" i="7"/>
  <c r="G11" i="7"/>
  <c r="I92" i="7"/>
  <c r="E48" i="18"/>
  <c r="J62" i="18"/>
  <c r="B82" i="5" s="1"/>
  <c r="O104" i="7"/>
  <c r="M95" i="7"/>
  <c r="I93" i="7"/>
  <c r="N96" i="7"/>
  <c r="N102" i="7"/>
  <c r="M104" i="7"/>
  <c r="I148" i="7"/>
  <c r="N93" i="7"/>
  <c r="N99" i="7"/>
  <c r="O144" i="7"/>
  <c r="I95" i="7"/>
  <c r="N101" i="7"/>
  <c r="I101" i="7"/>
  <c r="I140" i="7"/>
  <c r="I102" i="7"/>
  <c r="M94" i="7"/>
  <c r="O143" i="7"/>
  <c r="O102" i="7"/>
  <c r="N95" i="7"/>
  <c r="M91" i="7"/>
  <c r="O147" i="7"/>
  <c r="N94" i="7"/>
  <c r="I94" i="7"/>
  <c r="H81" i="36"/>
  <c r="C58" i="62"/>
  <c r="F81" i="36"/>
  <c r="D58" i="62" s="1"/>
  <c r="J74" i="18"/>
  <c r="G74" i="18"/>
  <c r="J91" i="18"/>
  <c r="O98" i="7"/>
  <c r="E39" i="18"/>
  <c r="C7" i="4"/>
  <c r="G66" i="18"/>
  <c r="B191" i="5" s="1"/>
  <c r="I70" i="18"/>
  <c r="C27" i="40"/>
  <c r="C21" i="59" s="1"/>
  <c r="I74" i="18"/>
  <c r="G26" i="34"/>
  <c r="G38" i="34" s="1"/>
  <c r="E70" i="18"/>
  <c r="O92" i="7"/>
  <c r="M96" i="7"/>
  <c r="M101" i="7"/>
  <c r="I100" i="7"/>
  <c r="O100" i="7"/>
  <c r="D16" i="36"/>
  <c r="C39" i="35"/>
  <c r="N146" i="7"/>
  <c r="I48" i="18"/>
  <c r="J87" i="18"/>
  <c r="N98" i="7"/>
  <c r="F66" i="18"/>
  <c r="B186" i="5" s="1"/>
  <c r="I96" i="7"/>
  <c r="M100" i="7"/>
  <c r="I103" i="7"/>
  <c r="I146" i="7"/>
  <c r="E83" i="18"/>
  <c r="M149" i="7"/>
  <c r="N150" i="7"/>
  <c r="E79" i="18"/>
  <c r="I87" i="18"/>
  <c r="N145" i="7"/>
  <c r="N104" i="7"/>
  <c r="I99" i="7"/>
  <c r="O99" i="7"/>
  <c r="O103" i="7"/>
  <c r="M103" i="7"/>
  <c r="D45" i="73"/>
  <c r="B29" i="3" s="1"/>
  <c r="B51" i="3" s="1"/>
  <c r="B246" i="5"/>
  <c r="C177" i="43"/>
  <c r="J52" i="18"/>
  <c r="I53" i="18"/>
  <c r="I9" i="18"/>
  <c r="I13" i="18" s="1"/>
  <c r="I30" i="18" s="1"/>
  <c r="H8" i="18"/>
  <c r="K49" i="6"/>
  <c r="O94" i="6"/>
  <c r="O49" i="6" s="1"/>
  <c r="H24" i="18" s="1"/>
  <c r="H111" i="18" s="1"/>
  <c r="F94" i="6"/>
  <c r="F49" i="6" s="1"/>
  <c r="I83" i="18"/>
  <c r="I52" i="18"/>
  <c r="I66" i="18"/>
  <c r="B192" i="5" s="1"/>
  <c r="K26" i="34"/>
  <c r="K38" i="34" s="1"/>
  <c r="F36" i="2"/>
  <c r="E62" i="18"/>
  <c r="B79" i="5" s="1"/>
  <c r="J79" i="18"/>
  <c r="J48" i="18"/>
  <c r="I79" i="18"/>
  <c r="I71" i="18"/>
  <c r="I98" i="7"/>
  <c r="N92" i="7"/>
  <c r="O93" i="7"/>
  <c r="I73" i="7"/>
  <c r="J83" i="18"/>
  <c r="N91" i="7"/>
  <c r="O91" i="7"/>
  <c r="I54" i="18"/>
  <c r="I10" i="18"/>
  <c r="B55" i="5"/>
  <c r="N46" i="34"/>
  <c r="C102" i="43"/>
  <c r="E102" i="43" s="1"/>
  <c r="G10" i="18"/>
  <c r="G54" i="18"/>
  <c r="M94" i="6"/>
  <c r="G94" i="6"/>
  <c r="J94" i="6"/>
  <c r="G4" i="18"/>
  <c r="K111" i="18"/>
  <c r="J10" i="18"/>
  <c r="J54" i="18"/>
  <c r="C48" i="6"/>
  <c r="P70" i="6"/>
  <c r="G53" i="18"/>
  <c r="D50" i="39" s="1"/>
  <c r="G9" i="18"/>
  <c r="C214" i="43"/>
  <c r="B285" i="5"/>
  <c r="B245" i="5"/>
  <c r="C176" i="43"/>
  <c r="I94" i="6"/>
  <c r="L94" i="6"/>
  <c r="E52" i="18"/>
  <c r="E91" i="18"/>
  <c r="G52" i="18"/>
  <c r="E66" i="18"/>
  <c r="B185" i="5" s="1"/>
  <c r="J66" i="18"/>
  <c r="B188" i="5" s="1"/>
  <c r="F32" i="2"/>
  <c r="F35" i="2"/>
  <c r="J70" i="18"/>
  <c r="I63" i="18"/>
  <c r="B115" i="5" s="1"/>
  <c r="B116" i="5" s="1"/>
  <c r="D116" i="5" s="1"/>
  <c r="G91" i="18"/>
  <c r="J81" i="18"/>
  <c r="J89" i="18"/>
  <c r="J64" i="18"/>
  <c r="B139" i="5" s="1"/>
  <c r="M54" i="70" s="1"/>
  <c r="I91" i="18"/>
  <c r="C46" i="43"/>
  <c r="E46" i="43" s="1"/>
  <c r="C150" i="43"/>
  <c r="B217" i="5"/>
  <c r="B278" i="5"/>
  <c r="C207" i="43"/>
  <c r="J9" i="18"/>
  <c r="J53" i="18"/>
  <c r="C129" i="43"/>
  <c r="E129" i="43" s="1"/>
  <c r="C45" i="34"/>
  <c r="N66" i="34"/>
  <c r="G111" i="18"/>
  <c r="D49" i="39"/>
  <c r="H94" i="6"/>
  <c r="C49" i="6"/>
  <c r="D94" i="6"/>
  <c r="D49" i="6" s="1"/>
  <c r="G71" i="18"/>
  <c r="C182" i="43"/>
  <c r="F83" i="18"/>
  <c r="F74" i="18"/>
  <c r="F91" i="18"/>
  <c r="F48" i="18"/>
  <c r="F52" i="18"/>
  <c r="I74" i="7"/>
  <c r="O146" i="7"/>
  <c r="M145" i="7"/>
  <c r="I151" i="7"/>
  <c r="N144" i="7"/>
  <c r="M144" i="7"/>
  <c r="O139" i="7"/>
  <c r="I145" i="7"/>
  <c r="F63" i="18"/>
  <c r="B106" i="5" s="1"/>
  <c r="F87" i="18"/>
  <c r="F62" i="18"/>
  <c r="B80" i="5" s="1"/>
  <c r="F70" i="18"/>
  <c r="F79" i="18"/>
  <c r="I410" i="7"/>
  <c r="E108" i="18"/>
  <c r="H14" i="7"/>
  <c r="I143" i="7"/>
  <c r="O140" i="7"/>
  <c r="N143" i="7"/>
  <c r="N148" i="7"/>
  <c r="I78" i="7"/>
  <c r="C23" i="59"/>
  <c r="N72" i="7"/>
  <c r="M77" i="7"/>
  <c r="B38" i="44"/>
  <c r="B27" i="44"/>
  <c r="BN4" i="41"/>
  <c r="V76" i="3"/>
  <c r="Z76" i="3"/>
  <c r="B33" i="5"/>
  <c r="AD76" i="3"/>
  <c r="K2" i="117"/>
  <c r="O2" i="117"/>
  <c r="F31" i="73"/>
  <c r="F41" i="3"/>
  <c r="V28" i="3" s="1"/>
  <c r="F42" i="3"/>
  <c r="V30" i="3" s="1"/>
  <c r="F80" i="18"/>
  <c r="Q38" i="4"/>
  <c r="F71" i="18"/>
  <c r="C36" i="43"/>
  <c r="F88" i="18"/>
  <c r="N75" i="7"/>
  <c r="O142" i="7"/>
  <c r="I147" i="7"/>
  <c r="M147" i="7"/>
  <c r="B144" i="5"/>
  <c r="G15" i="3"/>
  <c r="M142" i="7"/>
  <c r="N78" i="7"/>
  <c r="I80" i="7"/>
  <c r="O78" i="7"/>
  <c r="M53" i="7"/>
  <c r="I142" i="7"/>
  <c r="R15" i="50"/>
  <c r="I71" i="7"/>
  <c r="N54" i="7"/>
  <c r="I69" i="7"/>
  <c r="N140" i="7"/>
  <c r="N152" i="7"/>
  <c r="O149" i="7"/>
  <c r="M139" i="7"/>
  <c r="N71" i="7"/>
  <c r="M151" i="7"/>
  <c r="O46" i="7"/>
  <c r="I149" i="7"/>
  <c r="O152" i="7"/>
  <c r="A8" i="18"/>
  <c r="I139" i="7"/>
  <c r="M148" i="7"/>
  <c r="H50" i="7"/>
  <c r="O77" i="7"/>
  <c r="M150" i="7"/>
  <c r="O150" i="7"/>
  <c r="I77" i="7"/>
  <c r="H53" i="7"/>
  <c r="M71" i="7"/>
  <c r="N151" i="7"/>
  <c r="B4" i="40"/>
  <c r="B8" i="40" s="1"/>
  <c r="D19" i="40" s="1"/>
  <c r="B6" i="59"/>
  <c r="B10" i="59" s="1"/>
  <c r="J4" i="41" s="1"/>
  <c r="M70" i="7"/>
  <c r="O70" i="7"/>
  <c r="A6" i="18"/>
  <c r="O74" i="7"/>
  <c r="B119" i="5"/>
  <c r="M54" i="7"/>
  <c r="H43" i="7"/>
  <c r="C15" i="62"/>
  <c r="O69" i="7"/>
  <c r="M74" i="7"/>
  <c r="O54" i="7"/>
  <c r="H55" i="7"/>
  <c r="M69" i="7"/>
  <c r="M68" i="7"/>
  <c r="M333" i="7"/>
  <c r="M334" i="7" s="1"/>
  <c r="D11" i="70"/>
  <c r="G2" i="117" s="1"/>
  <c r="I70" i="7"/>
  <c r="N79" i="7"/>
  <c r="M79" i="7"/>
  <c r="Q11" i="3"/>
  <c r="K11" i="3" s="1"/>
  <c r="N67" i="7"/>
  <c r="O73" i="7"/>
  <c r="N73" i="7"/>
  <c r="I75" i="7"/>
  <c r="M46" i="7"/>
  <c r="O53" i="7"/>
  <c r="I79" i="7"/>
  <c r="O67" i="7"/>
  <c r="O75" i="7"/>
  <c r="M67" i="7"/>
  <c r="O80" i="7"/>
  <c r="M80" i="7"/>
  <c r="I72" i="7"/>
  <c r="M72" i="7"/>
  <c r="I39" i="35"/>
  <c r="I7" i="4"/>
  <c r="I26" i="34"/>
  <c r="I38" i="34" s="1"/>
  <c r="M268" i="7"/>
  <c r="M269" i="7" s="1"/>
  <c r="N310" i="7"/>
  <c r="N311" i="7" s="1"/>
  <c r="O226" i="7"/>
  <c r="O227" i="7" s="1"/>
  <c r="M226" i="7"/>
  <c r="M227" i="7" s="1"/>
  <c r="H11" i="7"/>
  <c r="D11" i="36"/>
  <c r="D16" i="62" s="1"/>
  <c r="C16" i="62"/>
  <c r="I226" i="7"/>
  <c r="N383" i="7"/>
  <c r="N384" i="7" s="1"/>
  <c r="O48" i="7"/>
  <c r="M43" i="7"/>
  <c r="N50" i="7"/>
  <c r="M310" i="7"/>
  <c r="M311" i="7" s="1"/>
  <c r="O76" i="7"/>
  <c r="N76" i="7"/>
  <c r="M76" i="7"/>
  <c r="K16" i="48"/>
  <c r="E2" i="53"/>
  <c r="G2" i="54"/>
  <c r="N268" i="7"/>
  <c r="N269" i="7" s="1"/>
  <c r="K17" i="48"/>
  <c r="F2" i="53"/>
  <c r="H2" i="54"/>
  <c r="C49" i="43"/>
  <c r="N52" i="7"/>
  <c r="O43" i="7"/>
  <c r="M50" i="7"/>
  <c r="I247" i="7"/>
  <c r="D58" i="36" s="1"/>
  <c r="E58" i="36" s="1"/>
  <c r="O68" i="7"/>
  <c r="N226" i="7"/>
  <c r="N227" i="7" s="1"/>
  <c r="H52" i="7"/>
  <c r="I76" i="7"/>
  <c r="N68" i="7"/>
  <c r="I383" i="7"/>
  <c r="O333" i="7"/>
  <c r="O334" i="7" s="1"/>
  <c r="O289" i="7"/>
  <c r="O290" i="7" s="1"/>
  <c r="O59" i="7"/>
  <c r="N49" i="7"/>
  <c r="N46" i="7"/>
  <c r="N202" i="7"/>
  <c r="N203" i="7" s="1"/>
  <c r="O179" i="7"/>
  <c r="O180" i="7" s="1"/>
  <c r="I202" i="7"/>
  <c r="I179" i="7"/>
  <c r="D16" i="18" s="1"/>
  <c r="N333" i="7"/>
  <c r="N334" i="7" s="1"/>
  <c r="M289" i="7"/>
  <c r="M290" i="7" s="1"/>
  <c r="O383" i="7"/>
  <c r="O384" i="7" s="1"/>
  <c r="I268" i="7"/>
  <c r="N289" i="7"/>
  <c r="N290" i="7" s="1"/>
  <c r="M383" i="7"/>
  <c r="M384" i="7" s="1"/>
  <c r="M202" i="7"/>
  <c r="M203" i="7" s="1"/>
  <c r="O268" i="7"/>
  <c r="O269" i="7" s="1"/>
  <c r="I289" i="7"/>
  <c r="F9" i="8"/>
  <c r="G9" i="8"/>
  <c r="C8" i="9" s="1"/>
  <c r="I358" i="7"/>
  <c r="I359" i="7" s="1"/>
  <c r="D100" i="36" s="1"/>
  <c r="E100" i="36" s="1"/>
  <c r="O358" i="7"/>
  <c r="O359" i="7" s="1"/>
  <c r="O310" i="7"/>
  <c r="O311" i="7" s="1"/>
  <c r="N358" i="7"/>
  <c r="N359" i="7" s="1"/>
  <c r="M358" i="7"/>
  <c r="M359" i="7" s="1"/>
  <c r="I310" i="7"/>
  <c r="I311" i="7" s="1"/>
  <c r="I333" i="7"/>
  <c r="D62" i="36" s="1"/>
  <c r="E62" i="36" s="1"/>
  <c r="N179" i="7"/>
  <c r="N180" i="7" s="1"/>
  <c r="M179" i="7"/>
  <c r="M180" i="7" s="1"/>
  <c r="O202" i="7"/>
  <c r="O203" i="7" s="1"/>
  <c r="N47" i="7"/>
  <c r="H59" i="7"/>
  <c r="H49" i="7"/>
  <c r="M47" i="7"/>
  <c r="N59" i="7"/>
  <c r="M49" i="7"/>
  <c r="O45" i="7"/>
  <c r="O55" i="7"/>
  <c r="N45" i="7"/>
  <c r="D46" i="73"/>
  <c r="B30" i="3" s="1"/>
  <c r="B37" i="70"/>
  <c r="C63" i="39"/>
  <c r="E63" i="39" s="1"/>
  <c r="D86" i="39" s="1"/>
  <c r="D26" i="39"/>
  <c r="K11" i="18"/>
  <c r="H28" i="36"/>
  <c r="BR4" i="41"/>
  <c r="C37" i="59"/>
  <c r="BQ4" i="41"/>
  <c r="C36" i="59"/>
  <c r="H51" i="7"/>
  <c r="M55" i="7"/>
  <c r="H47" i="7"/>
  <c r="M45" i="7"/>
  <c r="O44" i="7"/>
  <c r="H48" i="7"/>
  <c r="M44" i="7"/>
  <c r="M52" i="7"/>
  <c r="N51" i="7"/>
  <c r="D9" i="36"/>
  <c r="D14" i="62" s="1"/>
  <c r="M48" i="7"/>
  <c r="O51" i="7"/>
  <c r="N44" i="7"/>
  <c r="C14" i="62"/>
  <c r="F7" i="8"/>
  <c r="G7" i="8"/>
  <c r="C6" i="9" s="1"/>
  <c r="M247" i="7"/>
  <c r="M248" i="7" s="1"/>
  <c r="N247" i="7"/>
  <c r="N248" i="7" s="1"/>
  <c r="O247" i="7"/>
  <c r="O248" i="7" s="1"/>
  <c r="I83" i="36"/>
  <c r="H83" i="36"/>
  <c r="C47" i="62"/>
  <c r="I87" i="36"/>
  <c r="E68" i="36"/>
  <c r="D47" i="62" s="1"/>
  <c r="H87" i="36"/>
  <c r="I121" i="7"/>
  <c r="N121" i="7"/>
  <c r="M121" i="7"/>
  <c r="O121" i="7"/>
  <c r="O128" i="7"/>
  <c r="M128" i="7"/>
  <c r="N128" i="7"/>
  <c r="I128" i="7"/>
  <c r="M116" i="7"/>
  <c r="O116" i="7"/>
  <c r="N116" i="7"/>
  <c r="I116" i="7"/>
  <c r="M126" i="7"/>
  <c r="N126" i="7"/>
  <c r="I126" i="7"/>
  <c r="O126" i="7"/>
  <c r="C17" i="62"/>
  <c r="D12" i="36"/>
  <c r="D17" i="62" s="1"/>
  <c r="I125" i="7"/>
  <c r="N125" i="7"/>
  <c r="M125" i="7"/>
  <c r="O125" i="7"/>
  <c r="M124" i="7"/>
  <c r="I124" i="7"/>
  <c r="N124" i="7"/>
  <c r="O124" i="7"/>
  <c r="O123" i="7"/>
  <c r="I123" i="7"/>
  <c r="M123" i="7"/>
  <c r="N123" i="7"/>
  <c r="M122" i="7"/>
  <c r="O122" i="7"/>
  <c r="N122" i="7"/>
  <c r="I122" i="7"/>
  <c r="N127" i="7"/>
  <c r="I127" i="7"/>
  <c r="O127" i="7"/>
  <c r="M127" i="7"/>
  <c r="I118" i="7"/>
  <c r="M118" i="7"/>
  <c r="O118" i="7"/>
  <c r="N118" i="7"/>
  <c r="M120" i="7"/>
  <c r="N120" i="7"/>
  <c r="I120" i="7"/>
  <c r="O120" i="7"/>
  <c r="D10" i="8"/>
  <c r="Q12" i="3"/>
  <c r="K12" i="3" s="1"/>
  <c r="L101" i="1"/>
  <c r="K101" i="1"/>
  <c r="I119" i="7"/>
  <c r="N119" i="7"/>
  <c r="M119" i="7"/>
  <c r="O119" i="7"/>
  <c r="I115" i="7"/>
  <c r="M115" i="7"/>
  <c r="O115" i="7"/>
  <c r="N115" i="7"/>
  <c r="I117" i="7"/>
  <c r="N117" i="7"/>
  <c r="M117" i="7"/>
  <c r="O117" i="7"/>
  <c r="J26" i="34"/>
  <c r="J38" i="34" s="1"/>
  <c r="J7" i="4"/>
  <c r="J39" i="35"/>
  <c r="E73" i="18"/>
  <c r="I90" i="18"/>
  <c r="G65" i="18"/>
  <c r="G82" i="18"/>
  <c r="G73" i="18"/>
  <c r="I82" i="18"/>
  <c r="G51" i="18"/>
  <c r="I73" i="18"/>
  <c r="E51" i="18"/>
  <c r="E90" i="18"/>
  <c r="F90" i="18"/>
  <c r="J65" i="18"/>
  <c r="I51" i="18"/>
  <c r="I65" i="18"/>
  <c r="J90" i="18"/>
  <c r="F65" i="18"/>
  <c r="J51" i="18"/>
  <c r="E65" i="18"/>
  <c r="G90" i="18"/>
  <c r="F82" i="18"/>
  <c r="J73" i="18"/>
  <c r="E82" i="18"/>
  <c r="F73" i="18"/>
  <c r="J82" i="18"/>
  <c r="F8" i="8"/>
  <c r="G8" i="8"/>
  <c r="C7" i="9" s="1"/>
  <c r="C19" i="62"/>
  <c r="D14" i="36"/>
  <c r="D19" i="62" s="1"/>
  <c r="C28" i="59"/>
  <c r="BO4" i="41"/>
  <c r="Z2" i="117"/>
  <c r="J27" i="73"/>
  <c r="I28" i="36"/>
  <c r="F11" i="8" l="1"/>
  <c r="B56" i="5"/>
  <c r="B33" i="56" s="1"/>
  <c r="B193" i="5"/>
  <c r="H7" i="44" s="1"/>
  <c r="J57" i="18"/>
  <c r="I84" i="7"/>
  <c r="C67" i="43"/>
  <c r="F89" i="18"/>
  <c r="F92" i="18" s="1"/>
  <c r="F72" i="18"/>
  <c r="F75" i="18" s="1"/>
  <c r="F64" i="18"/>
  <c r="B137" i="5" s="1"/>
  <c r="M52" i="70" s="1"/>
  <c r="F50" i="18"/>
  <c r="F58" i="18" s="1"/>
  <c r="F81" i="18"/>
  <c r="F84" i="18" s="1"/>
  <c r="C186" i="43" s="1"/>
  <c r="M48" i="70"/>
  <c r="F5" i="44"/>
  <c r="H60" i="7"/>
  <c r="H61" i="7" s="1"/>
  <c r="F7" i="44"/>
  <c r="M59" i="70"/>
  <c r="O108" i="7"/>
  <c r="O109" i="7" s="1"/>
  <c r="I108" i="7"/>
  <c r="M108" i="7"/>
  <c r="M109" i="7" s="1"/>
  <c r="E92" i="18"/>
  <c r="E75" i="18"/>
  <c r="I75" i="18"/>
  <c r="B222" i="5" s="1"/>
  <c r="E84" i="18"/>
  <c r="B254" i="5" s="1"/>
  <c r="J92" i="18"/>
  <c r="J75" i="18"/>
  <c r="C155" i="43" s="1"/>
  <c r="I84" i="18"/>
  <c r="C181" i="43" s="1"/>
  <c r="I92" i="18"/>
  <c r="C213" i="43" s="1"/>
  <c r="N108" i="7"/>
  <c r="N109" i="7" s="1"/>
  <c r="I27" i="3"/>
  <c r="H4" i="18"/>
  <c r="G49" i="6"/>
  <c r="N156" i="7"/>
  <c r="N157" i="7" s="1"/>
  <c r="B216" i="5"/>
  <c r="C149" i="43"/>
  <c r="H9" i="18"/>
  <c r="L49" i="6"/>
  <c r="H53" i="18" s="1"/>
  <c r="M49" i="6"/>
  <c r="H54" i="18" s="1"/>
  <c r="H10" i="18"/>
  <c r="H74" i="18"/>
  <c r="H52" i="18"/>
  <c r="H91" i="18"/>
  <c r="C121" i="43"/>
  <c r="H83" i="18"/>
  <c r="H66" i="18"/>
  <c r="B187" i="5" s="1"/>
  <c r="C64" i="39"/>
  <c r="E64" i="39" s="1"/>
  <c r="D82" i="39" s="1"/>
  <c r="B54" i="5"/>
  <c r="H6" i="18"/>
  <c r="I49" i="6"/>
  <c r="D67" i="39"/>
  <c r="E67" i="39" s="1"/>
  <c r="B61" i="5"/>
  <c r="P48" i="6"/>
  <c r="C299" i="5" s="1"/>
  <c r="C32" i="36" s="1"/>
  <c r="D32" i="36" s="1"/>
  <c r="C17" i="43"/>
  <c r="C19" i="43" s="1"/>
  <c r="E19" i="43" s="1"/>
  <c r="G48" i="18"/>
  <c r="C23" i="46" s="1"/>
  <c r="C25" i="46" s="1"/>
  <c r="G70" i="18"/>
  <c r="G75" i="18" s="1"/>
  <c r="G62" i="18"/>
  <c r="B86" i="5" s="1"/>
  <c r="G87" i="18"/>
  <c r="G92" i="18" s="1"/>
  <c r="G79" i="18"/>
  <c r="G84" i="18" s="1"/>
  <c r="C28" i="39"/>
  <c r="D28" i="39" s="1"/>
  <c r="B32" i="56"/>
  <c r="C206" i="43"/>
  <c r="B277" i="5"/>
  <c r="J84" i="18"/>
  <c r="B52" i="3"/>
  <c r="I28" i="3"/>
  <c r="H49" i="6"/>
  <c r="H5" i="18"/>
  <c r="B62" i="5"/>
  <c r="N45" i="34"/>
  <c r="J13" i="18"/>
  <c r="J30" i="18" s="1"/>
  <c r="G13" i="18"/>
  <c r="G30" i="18" s="1"/>
  <c r="G115" i="18" s="1"/>
  <c r="J49" i="6"/>
  <c r="H7" i="18"/>
  <c r="C50" i="43"/>
  <c r="C51" i="43" s="1"/>
  <c r="B120" i="5"/>
  <c r="B121" i="5" s="1"/>
  <c r="D18" i="18"/>
  <c r="D57" i="36"/>
  <c r="E57" i="36" s="1"/>
  <c r="I227" i="7"/>
  <c r="D94" i="36" s="1"/>
  <c r="E94" i="36" s="1"/>
  <c r="D10" i="18"/>
  <c r="D54" i="18" s="1"/>
  <c r="I384" i="7"/>
  <c r="D64" i="36"/>
  <c r="E64" i="36" s="1"/>
  <c r="C44" i="62"/>
  <c r="F62" i="36"/>
  <c r="D44" i="62" s="1"/>
  <c r="D56" i="36"/>
  <c r="E56" i="36" s="1"/>
  <c r="C38" i="62" s="1"/>
  <c r="I203" i="7"/>
  <c r="D93" i="36" s="1"/>
  <c r="E93" i="36" s="1"/>
  <c r="D17" i="18"/>
  <c r="I156" i="7"/>
  <c r="I157" i="7" s="1"/>
  <c r="F108" i="18"/>
  <c r="D20" i="18"/>
  <c r="I269" i="7"/>
  <c r="B10" i="56"/>
  <c r="C6" i="39"/>
  <c r="B5" i="5"/>
  <c r="Z28" i="3"/>
  <c r="B35" i="5"/>
  <c r="V29" i="3"/>
  <c r="B6" i="5" s="1"/>
  <c r="F43" i="3"/>
  <c r="W32" i="3"/>
  <c r="D144" i="5"/>
  <c r="O156" i="7"/>
  <c r="O157" i="7" s="1"/>
  <c r="D21" i="18"/>
  <c r="D60" i="36"/>
  <c r="E60" i="36" s="1"/>
  <c r="I290" i="7"/>
  <c r="D19" i="18"/>
  <c r="I248" i="7"/>
  <c r="D95" i="36" s="1"/>
  <c r="E95" i="36" s="1"/>
  <c r="M84" i="7"/>
  <c r="M85" i="7" s="1"/>
  <c r="M156" i="7"/>
  <c r="M157" i="7" s="1"/>
  <c r="F10" i="73"/>
  <c r="D63" i="36"/>
  <c r="E63" i="36" s="1"/>
  <c r="F63" i="36" s="1"/>
  <c r="D45" i="62" s="1"/>
  <c r="N84" i="7"/>
  <c r="N85" i="7" s="1"/>
  <c r="I180" i="7"/>
  <c r="I16" i="7" s="1"/>
  <c r="O84" i="7"/>
  <c r="O85" i="7" s="1"/>
  <c r="O60" i="7"/>
  <c r="O61" i="7" s="1"/>
  <c r="G416" i="7"/>
  <c r="D9" i="18"/>
  <c r="D53" i="18" s="1"/>
  <c r="D55" i="36"/>
  <c r="E55" i="36" s="1"/>
  <c r="C37" i="62" s="1"/>
  <c r="D59" i="36"/>
  <c r="E59" i="36" s="1"/>
  <c r="F59" i="36" s="1"/>
  <c r="D41" i="62" s="1"/>
  <c r="N60" i="7"/>
  <c r="N61" i="7" s="1"/>
  <c r="D20" i="70"/>
  <c r="M2" i="117" s="1"/>
  <c r="F8" i="9"/>
  <c r="C37" i="9" s="1"/>
  <c r="E8" i="9"/>
  <c r="D98" i="36"/>
  <c r="E98" i="36" s="1"/>
  <c r="I22" i="7"/>
  <c r="I334" i="7"/>
  <c r="D23" i="18"/>
  <c r="G415" i="7"/>
  <c r="D61" i="36"/>
  <c r="E61" i="36" s="1"/>
  <c r="D22" i="18"/>
  <c r="B38" i="70"/>
  <c r="D47" i="73"/>
  <c r="B31" i="3" s="1"/>
  <c r="I24" i="7"/>
  <c r="E7" i="44"/>
  <c r="M60" i="7"/>
  <c r="M61" i="7" s="1"/>
  <c r="F6" i="9"/>
  <c r="C35" i="9" s="1"/>
  <c r="E6" i="9"/>
  <c r="C40" i="62"/>
  <c r="F58" i="36"/>
  <c r="D40" i="62" s="1"/>
  <c r="O132" i="7"/>
  <c r="O133" i="7" s="1"/>
  <c r="B160" i="5"/>
  <c r="E67" i="18"/>
  <c r="B167" i="5"/>
  <c r="I67" i="18"/>
  <c r="I132" i="7"/>
  <c r="J58" i="18"/>
  <c r="I57" i="18"/>
  <c r="I58" i="18"/>
  <c r="E57" i="18"/>
  <c r="E58" i="18"/>
  <c r="N132" i="7"/>
  <c r="C6" i="59"/>
  <c r="C4" i="40"/>
  <c r="C8" i="40" s="1"/>
  <c r="B161" i="5"/>
  <c r="B163" i="5"/>
  <c r="J67" i="18"/>
  <c r="B166" i="5"/>
  <c r="M132" i="7"/>
  <c r="E10" i="9"/>
  <c r="F10" i="9"/>
  <c r="C39" i="9" s="1"/>
  <c r="F10" i="8"/>
  <c r="G10" i="8"/>
  <c r="C9" i="9" s="1"/>
  <c r="F7" i="9"/>
  <c r="C36" i="9" s="1"/>
  <c r="E7" i="9"/>
  <c r="F100" i="36"/>
  <c r="D72" i="62" s="1"/>
  <c r="C72" i="62"/>
  <c r="D24" i="18" l="1"/>
  <c r="D111" i="18" s="1"/>
  <c r="C49" i="39" s="1"/>
  <c r="E49" i="39" s="1"/>
  <c r="B88" i="5"/>
  <c r="D88" i="5" s="1"/>
  <c r="P49" i="6"/>
  <c r="C29" i="39"/>
  <c r="D29" i="39" s="1"/>
  <c r="D193" i="5"/>
  <c r="D50" i="36"/>
  <c r="E50" i="36" s="1"/>
  <c r="C32" i="62" s="1"/>
  <c r="F57" i="18"/>
  <c r="F67" i="18"/>
  <c r="D51" i="36"/>
  <c r="E51" i="36" s="1"/>
  <c r="C33" i="62" s="1"/>
  <c r="D5" i="18"/>
  <c r="D49" i="18" s="1"/>
  <c r="B284" i="5"/>
  <c r="D6" i="18"/>
  <c r="D64" i="18" s="1"/>
  <c r="I109" i="7"/>
  <c r="D52" i="36"/>
  <c r="E52" i="36" s="1"/>
  <c r="I412" i="7"/>
  <c r="I413" i="7" s="1"/>
  <c r="G58" i="18"/>
  <c r="D51" i="39" s="1"/>
  <c r="G57" i="18"/>
  <c r="B60" i="5" s="1"/>
  <c r="C185" i="43"/>
  <c r="C187" i="43" s="1"/>
  <c r="C45" i="62"/>
  <c r="F56" i="36"/>
  <c r="D38" i="62" s="1"/>
  <c r="K10" i="18"/>
  <c r="D8" i="18"/>
  <c r="D52" i="18" s="1"/>
  <c r="B250" i="5"/>
  <c r="G67" i="18"/>
  <c r="C18" i="46"/>
  <c r="C25" i="51" s="1"/>
  <c r="C50" i="39"/>
  <c r="E50" i="39" s="1"/>
  <c r="BL4" i="41" s="1"/>
  <c r="C180" i="43"/>
  <c r="B249" i="5"/>
  <c r="B283" i="5"/>
  <c r="C212" i="43"/>
  <c r="C215" i="43" s="1"/>
  <c r="E215" i="43" s="1"/>
  <c r="C154" i="43"/>
  <c r="C157" i="43" s="1"/>
  <c r="E157" i="43" s="1"/>
  <c r="B221" i="5"/>
  <c r="B224" i="5" s="1"/>
  <c r="D224" i="5" s="1"/>
  <c r="B38" i="56"/>
  <c r="C34" i="39"/>
  <c r="D34" i="39" s="1"/>
  <c r="C94" i="43"/>
  <c r="H90" i="18"/>
  <c r="H65" i="18"/>
  <c r="B162" i="5" s="1"/>
  <c r="H82" i="18"/>
  <c r="H51" i="18"/>
  <c r="H73" i="18"/>
  <c r="B31" i="56"/>
  <c r="C27" i="39"/>
  <c r="D27" i="39" s="1"/>
  <c r="C183" i="43"/>
  <c r="E183" i="43" s="1"/>
  <c r="C35" i="39"/>
  <c r="D35" i="39" s="1"/>
  <c r="B39" i="56"/>
  <c r="H48" i="18"/>
  <c r="H70" i="18"/>
  <c r="H79" i="18"/>
  <c r="H62" i="18"/>
  <c r="H13" i="18"/>
  <c r="H30" i="18" s="1"/>
  <c r="H115" i="18" s="1"/>
  <c r="C10" i="43"/>
  <c r="H87" i="18"/>
  <c r="B53" i="3"/>
  <c r="I29" i="3"/>
  <c r="H80" i="18"/>
  <c r="H88" i="18"/>
  <c r="C37" i="43"/>
  <c r="H49" i="18"/>
  <c r="H63" i="18"/>
  <c r="B107" i="5" s="1"/>
  <c r="H71" i="18"/>
  <c r="E32" i="36"/>
  <c r="D22" i="62" s="1"/>
  <c r="C22" i="62"/>
  <c r="H81" i="18"/>
  <c r="H89" i="18"/>
  <c r="C68" i="43"/>
  <c r="H50" i="18"/>
  <c r="H72" i="18"/>
  <c r="H64" i="18"/>
  <c r="B138" i="5" s="1"/>
  <c r="I17" i="7"/>
  <c r="C39" i="62"/>
  <c r="F57" i="36"/>
  <c r="D39" i="62" s="1"/>
  <c r="F94" i="36"/>
  <c r="D66" i="62" s="1"/>
  <c r="C66" i="62"/>
  <c r="D18" i="46"/>
  <c r="D23" i="54" s="1"/>
  <c r="C46" i="62"/>
  <c r="F64" i="36"/>
  <c r="D46" i="62" s="1"/>
  <c r="D101" i="36"/>
  <c r="E101" i="36" s="1"/>
  <c r="I27" i="7"/>
  <c r="D99" i="36"/>
  <c r="E99" i="36" s="1"/>
  <c r="C71" i="62" s="1"/>
  <c r="I23" i="7"/>
  <c r="I19" i="7"/>
  <c r="B255" i="5"/>
  <c r="B256" i="5" s="1"/>
  <c r="B7" i="5"/>
  <c r="C6" i="5" s="1"/>
  <c r="V32" i="3"/>
  <c r="X32" i="3" s="1"/>
  <c r="C301" i="5"/>
  <c r="C35" i="36" s="1"/>
  <c r="B12" i="56"/>
  <c r="C5" i="39"/>
  <c r="B40" i="5"/>
  <c r="C35" i="5" s="1"/>
  <c r="I85" i="7"/>
  <c r="P12" i="7" s="1"/>
  <c r="I21" i="7"/>
  <c r="D97" i="36"/>
  <c r="E97" i="36" s="1"/>
  <c r="F60" i="36"/>
  <c r="D42" i="62" s="1"/>
  <c r="C42" i="62"/>
  <c r="D96" i="36"/>
  <c r="E96" i="36" s="1"/>
  <c r="C68" i="62" s="1"/>
  <c r="F51" i="36"/>
  <c r="D33" i="62" s="1"/>
  <c r="D4" i="18"/>
  <c r="D92" i="36"/>
  <c r="E92" i="36" s="1"/>
  <c r="F92" i="36" s="1"/>
  <c r="D64" i="62" s="1"/>
  <c r="F55" i="36"/>
  <c r="D37" i="62" s="1"/>
  <c r="C17" i="46"/>
  <c r="C23" i="51" s="1"/>
  <c r="D87" i="36"/>
  <c r="E87" i="36" s="1"/>
  <c r="F87" i="36" s="1"/>
  <c r="D59" i="62" s="1"/>
  <c r="K9" i="18"/>
  <c r="F37" i="9"/>
  <c r="C64" i="9" s="1"/>
  <c r="E37" i="9"/>
  <c r="C41" i="62"/>
  <c r="D17" i="46"/>
  <c r="D22" i="54" s="1"/>
  <c r="C22" i="51" s="1"/>
  <c r="F98" i="36"/>
  <c r="D70" i="62" s="1"/>
  <c r="C70" i="62"/>
  <c r="C43" i="62"/>
  <c r="F61" i="36"/>
  <c r="D43" i="62" s="1"/>
  <c r="C65" i="62"/>
  <c r="F93" i="36"/>
  <c r="D65" i="62" s="1"/>
  <c r="B168" i="5"/>
  <c r="G7" i="44" s="1"/>
  <c r="D48" i="73"/>
  <c r="B32" i="3" s="1"/>
  <c r="B39" i="70"/>
  <c r="E35" i="9"/>
  <c r="F35" i="9"/>
  <c r="C62" i="9" s="1"/>
  <c r="I108" i="18"/>
  <c r="F95" i="36"/>
  <c r="D67" i="62" s="1"/>
  <c r="C67" i="62"/>
  <c r="O412" i="7"/>
  <c r="O413" i="7" s="1"/>
  <c r="D91" i="36"/>
  <c r="E91" i="36" s="1"/>
  <c r="D54" i="36"/>
  <c r="E54" i="36" s="1"/>
  <c r="P15" i="7"/>
  <c r="I109" i="18"/>
  <c r="I114" i="18" s="1"/>
  <c r="I133" i="7"/>
  <c r="D53" i="36"/>
  <c r="E53" i="36" s="1"/>
  <c r="N133" i="7"/>
  <c r="N412" i="7"/>
  <c r="N413" i="7" s="1"/>
  <c r="E109" i="18"/>
  <c r="E114" i="18" s="1"/>
  <c r="B52" i="5"/>
  <c r="E39" i="9"/>
  <c r="F39" i="9"/>
  <c r="C66" i="9" s="1"/>
  <c r="D20" i="40"/>
  <c r="AD4" i="41"/>
  <c r="D8" i="40"/>
  <c r="D7" i="18"/>
  <c r="G414" i="7"/>
  <c r="F9" i="9"/>
  <c r="C38" i="9" s="1"/>
  <c r="E9" i="9"/>
  <c r="M133" i="7"/>
  <c r="M412" i="7"/>
  <c r="M413" i="7" s="1"/>
  <c r="C10" i="59"/>
  <c r="D6" i="59"/>
  <c r="F36" i="9"/>
  <c r="C63" i="9" s="1"/>
  <c r="E36" i="9"/>
  <c r="K5" i="18" l="1"/>
  <c r="D7" i="44"/>
  <c r="B53" i="44" s="1"/>
  <c r="F50" i="36"/>
  <c r="D32" i="62" s="1"/>
  <c r="F109" i="18"/>
  <c r="F114" i="18" s="1"/>
  <c r="K8" i="18"/>
  <c r="G108" i="18"/>
  <c r="K110" i="18" s="1"/>
  <c r="D81" i="18"/>
  <c r="L81" i="18" s="1"/>
  <c r="B135" i="5"/>
  <c r="M50" i="70" s="1"/>
  <c r="B286" i="5"/>
  <c r="D286" i="5" s="1"/>
  <c r="M53" i="70"/>
  <c r="D50" i="18"/>
  <c r="C65" i="43"/>
  <c r="F52" i="36"/>
  <c r="D34" i="62" s="1"/>
  <c r="C34" i="62"/>
  <c r="K6" i="18"/>
  <c r="D89" i="18"/>
  <c r="L89" i="18" s="1"/>
  <c r="D72" i="18"/>
  <c r="L72" i="18" s="1"/>
  <c r="D89" i="36"/>
  <c r="E89" i="36" s="1"/>
  <c r="P13" i="7"/>
  <c r="D70" i="18"/>
  <c r="L70" i="18" s="1"/>
  <c r="D48" i="18"/>
  <c r="H57" i="18"/>
  <c r="C118" i="43"/>
  <c r="C125" i="43" s="1"/>
  <c r="C136" i="43" s="1"/>
  <c r="C72" i="43"/>
  <c r="C81" i="43" s="1"/>
  <c r="C11" i="46" s="1"/>
  <c r="H11" i="46" s="1"/>
  <c r="D83" i="18"/>
  <c r="L83" i="18" s="1"/>
  <c r="D91" i="18"/>
  <c r="L91" i="18" s="1"/>
  <c r="D74" i="18"/>
  <c r="L74" i="18" s="1"/>
  <c r="D66" i="18"/>
  <c r="B184" i="5" s="1"/>
  <c r="B189" i="5" s="1"/>
  <c r="B195" i="5" s="1"/>
  <c r="G109" i="18"/>
  <c r="G114" i="18" s="1"/>
  <c r="B252" i="5"/>
  <c r="D252" i="5" s="1"/>
  <c r="F96" i="36"/>
  <c r="D68" i="62" s="1"/>
  <c r="I7" i="44"/>
  <c r="BK4" i="41"/>
  <c r="C24" i="51"/>
  <c r="H92" i="18"/>
  <c r="H75" i="18"/>
  <c r="H58" i="18"/>
  <c r="B54" i="3"/>
  <c r="I30" i="3"/>
  <c r="B81" i="5"/>
  <c r="H67" i="18"/>
  <c r="H84" i="18"/>
  <c r="F99" i="36"/>
  <c r="D71" i="62" s="1"/>
  <c r="C73" i="62"/>
  <c r="F101" i="36"/>
  <c r="D73" i="62" s="1"/>
  <c r="C64" i="62"/>
  <c r="D62" i="18"/>
  <c r="B78" i="5" s="1"/>
  <c r="D88" i="36"/>
  <c r="E88" i="36" s="1"/>
  <c r="C30" i="37"/>
  <c r="B5" i="44"/>
  <c r="B40" i="44" s="1"/>
  <c r="C5" i="5"/>
  <c r="C7" i="5" s="1"/>
  <c r="C302" i="5"/>
  <c r="C36" i="36" s="1"/>
  <c r="D35" i="36" s="1"/>
  <c r="C23" i="62" s="1"/>
  <c r="C7" i="39"/>
  <c r="B17" i="56"/>
  <c r="C12" i="56" s="1"/>
  <c r="C5" i="44"/>
  <c r="B45" i="44" s="1"/>
  <c r="C16" i="51"/>
  <c r="C33" i="5"/>
  <c r="C40" i="5"/>
  <c r="C31" i="5"/>
  <c r="C38" i="5"/>
  <c r="C34" i="5"/>
  <c r="F11" i="39"/>
  <c r="C30" i="5"/>
  <c r="C303" i="5"/>
  <c r="C37" i="36" s="1"/>
  <c r="C37" i="5"/>
  <c r="C39" i="5"/>
  <c r="C32" i="5"/>
  <c r="C36" i="5"/>
  <c r="F97" i="36"/>
  <c r="D69" i="62" s="1"/>
  <c r="C69" i="62"/>
  <c r="D63" i="18"/>
  <c r="B104" i="5" s="1"/>
  <c r="D80" i="18"/>
  <c r="L80" i="18" s="1"/>
  <c r="C34" i="43"/>
  <c r="D88" i="18"/>
  <c r="L88" i="18" s="1"/>
  <c r="D71" i="18"/>
  <c r="L71" i="18" s="1"/>
  <c r="L24" i="18"/>
  <c r="C7" i="43"/>
  <c r="D79" i="18"/>
  <c r="L79" i="18" s="1"/>
  <c r="K4" i="18"/>
  <c r="D87" i="18"/>
  <c r="L87" i="18" s="1"/>
  <c r="K24" i="18"/>
  <c r="C29" i="51" s="1"/>
  <c r="C30" i="51"/>
  <c r="B45" i="5"/>
  <c r="B22" i="56" s="1"/>
  <c r="C59" i="62"/>
  <c r="D168" i="5"/>
  <c r="P11" i="7"/>
  <c r="E64" i="9"/>
  <c r="F64" i="9"/>
  <c r="B40" i="70"/>
  <c r="D49" i="73"/>
  <c r="B33" i="3" s="1"/>
  <c r="E62" i="9"/>
  <c r="F62" i="9"/>
  <c r="F53" i="36"/>
  <c r="D35" i="62" s="1"/>
  <c r="C35" i="62"/>
  <c r="I65" i="36"/>
  <c r="H65" i="36"/>
  <c r="D90" i="36"/>
  <c r="E90" i="36" s="1"/>
  <c r="P14" i="7"/>
  <c r="F54" i="36"/>
  <c r="D36" i="62" s="1"/>
  <c r="C36" i="62"/>
  <c r="C63" i="62"/>
  <c r="F91" i="36"/>
  <c r="D63" i="62" s="1"/>
  <c r="BE4" i="41"/>
  <c r="D54" i="39"/>
  <c r="F38" i="9"/>
  <c r="C65" i="9" s="1"/>
  <c r="E38" i="9"/>
  <c r="E40" i="9" s="1"/>
  <c r="C33" i="39"/>
  <c r="B37" i="56"/>
  <c r="B63" i="5"/>
  <c r="C306" i="5"/>
  <c r="C41" i="36" s="1"/>
  <c r="B9" i="62" s="1"/>
  <c r="B9" i="5"/>
  <c r="E66" i="9"/>
  <c r="F66" i="9"/>
  <c r="K4" i="41"/>
  <c r="D10" i="59"/>
  <c r="D90" i="18"/>
  <c r="D51" i="18"/>
  <c r="D82" i="18"/>
  <c r="D73" i="18"/>
  <c r="D65" i="18"/>
  <c r="C91" i="43"/>
  <c r="K7" i="18"/>
  <c r="D13" i="18"/>
  <c r="B29" i="56"/>
  <c r="C25" i="39"/>
  <c r="F63" i="9"/>
  <c r="E63" i="9"/>
  <c r="B140" i="5" l="1"/>
  <c r="B146" i="5" s="1"/>
  <c r="C135" i="5" s="1"/>
  <c r="D57" i="18"/>
  <c r="K58" i="18" s="1"/>
  <c r="B84" i="5"/>
  <c r="B92" i="5" s="1"/>
  <c r="K7" i="44"/>
  <c r="F89" i="36"/>
  <c r="D61" i="62" s="1"/>
  <c r="C61" i="62"/>
  <c r="C78" i="43"/>
  <c r="D75" i="43" s="1"/>
  <c r="C131" i="43"/>
  <c r="D127" i="43" s="1"/>
  <c r="C134" i="43"/>
  <c r="E134" i="43" s="1"/>
  <c r="C83" i="43"/>
  <c r="B197" i="5"/>
  <c r="H6" i="44"/>
  <c r="H8" i="44" s="1"/>
  <c r="J7" i="44"/>
  <c r="E81" i="43"/>
  <c r="H109" i="18"/>
  <c r="H114" i="18" s="1"/>
  <c r="H108" i="18"/>
  <c r="B55" i="3"/>
  <c r="I31" i="3"/>
  <c r="E35" i="36"/>
  <c r="D23" i="62" s="1"/>
  <c r="C60" i="62"/>
  <c r="F88" i="36"/>
  <c r="D60" i="62" s="1"/>
  <c r="C42" i="44"/>
  <c r="C40" i="44"/>
  <c r="D36" i="36"/>
  <c r="C9" i="56"/>
  <c r="C10" i="56"/>
  <c r="C7" i="56"/>
  <c r="C16" i="56"/>
  <c r="C14" i="56"/>
  <c r="C15" i="56"/>
  <c r="C8" i="56"/>
  <c r="C11" i="56"/>
  <c r="C17" i="56"/>
  <c r="C13" i="56"/>
  <c r="H42" i="44"/>
  <c r="C45" i="44"/>
  <c r="D7" i="39"/>
  <c r="D6" i="39"/>
  <c r="L13" i="49" s="1"/>
  <c r="D37" i="36"/>
  <c r="D5" i="39"/>
  <c r="C18" i="39"/>
  <c r="C41" i="43"/>
  <c r="B111" i="5"/>
  <c r="K13" i="18"/>
  <c r="C14" i="43"/>
  <c r="D50" i="73"/>
  <c r="B34" i="3" s="1"/>
  <c r="B41" i="70"/>
  <c r="C185" i="5"/>
  <c r="C195" i="5"/>
  <c r="C184" i="5"/>
  <c r="C188" i="5"/>
  <c r="C192" i="5"/>
  <c r="C194" i="5"/>
  <c r="C191" i="5"/>
  <c r="C186" i="5"/>
  <c r="C187" i="5"/>
  <c r="C190" i="5"/>
  <c r="F90" i="36"/>
  <c r="D62" i="62" s="1"/>
  <c r="C62" i="62"/>
  <c r="L82" i="18"/>
  <c r="L84" i="18" s="1"/>
  <c r="D84" i="18"/>
  <c r="B15" i="5"/>
  <c r="D30" i="37"/>
  <c r="F30" i="37" s="1"/>
  <c r="D25" i="39"/>
  <c r="C98" i="43"/>
  <c r="D58" i="18"/>
  <c r="C51" i="39" s="1"/>
  <c r="AJ4" i="41"/>
  <c r="C298" i="5"/>
  <c r="C36" i="39"/>
  <c r="B40" i="56"/>
  <c r="C7" i="44"/>
  <c r="B47" i="44" s="1"/>
  <c r="F65" i="9"/>
  <c r="E65" i="9"/>
  <c r="B159" i="5"/>
  <c r="D67" i="18"/>
  <c r="K67" i="18" s="1"/>
  <c r="L90" i="18"/>
  <c r="L92" i="18" s="1"/>
  <c r="D92" i="18"/>
  <c r="D59" i="39"/>
  <c r="AY4" i="41"/>
  <c r="D30" i="18"/>
  <c r="D115" i="18" s="1"/>
  <c r="D29" i="18"/>
  <c r="D108" i="18"/>
  <c r="L73" i="18"/>
  <c r="L75" i="18" s="1"/>
  <c r="D75" i="18"/>
  <c r="C20" i="59"/>
  <c r="T4" i="41"/>
  <c r="L4" i="41"/>
  <c r="Q4" i="41" s="1"/>
  <c r="D33" i="39"/>
  <c r="B148" i="5" l="1"/>
  <c r="M63" i="70" s="1"/>
  <c r="M55" i="70"/>
  <c r="F6" i="44"/>
  <c r="F9" i="44" s="1"/>
  <c r="F15" i="44" s="1"/>
  <c r="D6" i="44"/>
  <c r="D8" i="44" s="1"/>
  <c r="C142" i="5"/>
  <c r="C146" i="5"/>
  <c r="M61" i="70"/>
  <c r="C139" i="5"/>
  <c r="C143" i="5"/>
  <c r="C136" i="5"/>
  <c r="D149" i="5"/>
  <c r="C138" i="5"/>
  <c r="C137" i="5"/>
  <c r="B198" i="5"/>
  <c r="Q17" i="48" s="1"/>
  <c r="T17" i="48" s="1"/>
  <c r="L40" i="70"/>
  <c r="P40" i="70" s="1"/>
  <c r="D78" i="43"/>
  <c r="D68" i="43"/>
  <c r="D65" i="43"/>
  <c r="D67" i="43"/>
  <c r="D66" i="43"/>
  <c r="C82" i="43"/>
  <c r="D11" i="46" s="1"/>
  <c r="I11" i="46" s="1"/>
  <c r="C84" i="43"/>
  <c r="D74" i="43"/>
  <c r="D69" i="43"/>
  <c r="D118" i="43"/>
  <c r="D128" i="43"/>
  <c r="D119" i="43"/>
  <c r="C135" i="43"/>
  <c r="H5" i="54" s="1"/>
  <c r="D14" i="54" s="1"/>
  <c r="F14" i="54" s="1"/>
  <c r="C137" i="43"/>
  <c r="D131" i="43"/>
  <c r="C13" i="46"/>
  <c r="H13" i="46" s="1"/>
  <c r="H9" i="44"/>
  <c r="H19" i="44" s="1"/>
  <c r="H22" i="44" s="1"/>
  <c r="M17" i="48"/>
  <c r="P17" i="48" s="1"/>
  <c r="L36" i="70"/>
  <c r="B90" i="5"/>
  <c r="C79" i="5" s="1"/>
  <c r="B56" i="3"/>
  <c r="I32" i="3"/>
  <c r="C24" i="62"/>
  <c r="E36" i="36"/>
  <c r="D24" i="62" s="1"/>
  <c r="J14" i="39"/>
  <c r="G18" i="39" s="1"/>
  <c r="H18" i="39" s="1"/>
  <c r="L12" i="49"/>
  <c r="C25" i="62"/>
  <c r="E37" i="36"/>
  <c r="D25" i="62" s="1"/>
  <c r="H38" i="36"/>
  <c r="I38" i="36"/>
  <c r="D18" i="39"/>
  <c r="B122" i="5"/>
  <c r="B124" i="5"/>
  <c r="L37" i="70" s="1"/>
  <c r="P37" i="70" s="1"/>
  <c r="E6" i="44"/>
  <c r="C52" i="43"/>
  <c r="C55" i="43"/>
  <c r="C57" i="43"/>
  <c r="C21" i="43"/>
  <c r="C24" i="43"/>
  <c r="B42" i="70"/>
  <c r="D51" i="73"/>
  <c r="B35" i="3" s="1"/>
  <c r="D298" i="5"/>
  <c r="C31" i="36"/>
  <c r="C34" i="37"/>
  <c r="C40" i="37"/>
  <c r="C39" i="37"/>
  <c r="D81" i="39"/>
  <c r="D68" i="39"/>
  <c r="AR4" i="41" s="1"/>
  <c r="B164" i="5"/>
  <c r="H44" i="44"/>
  <c r="C47" i="44"/>
  <c r="C110" i="43"/>
  <c r="C108" i="43"/>
  <c r="C105" i="43"/>
  <c r="C305" i="5"/>
  <c r="C40" i="36" s="1"/>
  <c r="B21" i="5"/>
  <c r="B6" i="44"/>
  <c r="B18" i="5"/>
  <c r="B271" i="5"/>
  <c r="C200" i="43"/>
  <c r="C210" i="43" s="1"/>
  <c r="K92" i="18"/>
  <c r="BD4" i="41"/>
  <c r="BF4" i="41" s="1"/>
  <c r="C54" i="39"/>
  <c r="E51" i="39"/>
  <c r="B23" i="46"/>
  <c r="B239" i="5"/>
  <c r="C170" i="43"/>
  <c r="C143" i="43"/>
  <c r="B210" i="5"/>
  <c r="D36" i="39"/>
  <c r="E33" i="39" s="1"/>
  <c r="C44" i="39"/>
  <c r="B43" i="5"/>
  <c r="K57" i="18"/>
  <c r="D109" i="18"/>
  <c r="D114" i="18" s="1"/>
  <c r="J114" i="18" s="1"/>
  <c r="L38" i="70" l="1"/>
  <c r="P38" i="70" s="1"/>
  <c r="M15" i="48"/>
  <c r="N15" i="48" s="1"/>
  <c r="F19" i="44"/>
  <c r="F22" i="44" s="1"/>
  <c r="B149" i="5"/>
  <c r="B12" i="54" s="1"/>
  <c r="F10" i="44"/>
  <c r="F11" i="44" s="1"/>
  <c r="F8" i="44"/>
  <c r="B52" i="44"/>
  <c r="D9" i="44"/>
  <c r="D10" i="44" s="1"/>
  <c r="D13" i="44" s="1"/>
  <c r="D28" i="44" s="1"/>
  <c r="B58" i="5"/>
  <c r="H47" i="70" s="1"/>
  <c r="P36" i="70"/>
  <c r="B14" i="54"/>
  <c r="B93" i="5"/>
  <c r="Q13" i="48" s="1"/>
  <c r="S13" i="48" s="1"/>
  <c r="F5" i="54"/>
  <c r="D12" i="54" s="1"/>
  <c r="F12" i="54" s="1"/>
  <c r="D13" i="46"/>
  <c r="I13" i="46" s="1"/>
  <c r="H10" i="44"/>
  <c r="H11" i="44" s="1"/>
  <c r="H15" i="44"/>
  <c r="M13" i="48"/>
  <c r="N13" i="48" s="1"/>
  <c r="C80" i="5"/>
  <c r="C90" i="5"/>
  <c r="C86" i="5"/>
  <c r="C81" i="5"/>
  <c r="C78" i="5"/>
  <c r="C87" i="5"/>
  <c r="C82" i="5"/>
  <c r="B57" i="3"/>
  <c r="I33" i="3"/>
  <c r="G36" i="39"/>
  <c r="H36" i="39" s="1"/>
  <c r="G23" i="39"/>
  <c r="H23" i="39" s="1"/>
  <c r="G21" i="39"/>
  <c r="H21" i="39" s="1"/>
  <c r="G22" i="39"/>
  <c r="H22" i="39" s="1"/>
  <c r="G19" i="39"/>
  <c r="H19" i="39" s="1"/>
  <c r="G34" i="39"/>
  <c r="H34" i="39" s="1"/>
  <c r="G26" i="39"/>
  <c r="H26" i="39" s="1"/>
  <c r="G29" i="39"/>
  <c r="H29" i="39" s="1"/>
  <c r="G24" i="39"/>
  <c r="H24" i="39" s="1"/>
  <c r="G17" i="39"/>
  <c r="H17" i="39" s="1"/>
  <c r="G28" i="39"/>
  <c r="H28" i="39" s="1"/>
  <c r="G35" i="39"/>
  <c r="H35" i="39" s="1"/>
  <c r="G20" i="39"/>
  <c r="H20" i="39" s="1"/>
  <c r="G27" i="39"/>
  <c r="H27" i="39" s="1"/>
  <c r="G25" i="39"/>
  <c r="H25" i="39" s="1"/>
  <c r="G33" i="39"/>
  <c r="H33" i="39" s="1"/>
  <c r="D49" i="43"/>
  <c r="D36" i="43"/>
  <c r="C56" i="43"/>
  <c r="D51" i="43"/>
  <c r="D44" i="43"/>
  <c r="D37" i="43"/>
  <c r="D45" i="43"/>
  <c r="D50" i="43"/>
  <c r="D52" i="43"/>
  <c r="C58" i="43"/>
  <c r="D48" i="43"/>
  <c r="D38" i="43"/>
  <c r="D35" i="43"/>
  <c r="D34" i="43"/>
  <c r="C120" i="5"/>
  <c r="C122" i="5"/>
  <c r="C105" i="5"/>
  <c r="C107" i="5"/>
  <c r="C108" i="5"/>
  <c r="C106" i="5"/>
  <c r="C115" i="5"/>
  <c r="C119" i="5"/>
  <c r="C114" i="5"/>
  <c r="C121" i="5"/>
  <c r="C118" i="5"/>
  <c r="C104" i="5"/>
  <c r="E9" i="44"/>
  <c r="E8" i="44"/>
  <c r="E55" i="43"/>
  <c r="C10" i="46"/>
  <c r="H10" i="46" s="1"/>
  <c r="B125" i="5"/>
  <c r="M14" i="48"/>
  <c r="D18" i="43"/>
  <c r="C27" i="43"/>
  <c r="C26" i="43"/>
  <c r="D9" i="43"/>
  <c r="D8" i="43"/>
  <c r="D11" i="43"/>
  <c r="D17" i="43"/>
  <c r="D10" i="43"/>
  <c r="D21" i="43"/>
  <c r="C25" i="43"/>
  <c r="D7" i="43"/>
  <c r="C9" i="46"/>
  <c r="H9" i="46" s="1"/>
  <c r="E24" i="43"/>
  <c r="D52" i="73"/>
  <c r="B36" i="3" s="1"/>
  <c r="B43" i="70"/>
  <c r="B219" i="5"/>
  <c r="D92" i="43"/>
  <c r="D99" i="43"/>
  <c r="D101" i="43"/>
  <c r="C111" i="43"/>
  <c r="D95" i="43"/>
  <c r="D100" i="43"/>
  <c r="D94" i="43"/>
  <c r="C109" i="43"/>
  <c r="D93" i="43"/>
  <c r="D91" i="43"/>
  <c r="D31" i="36"/>
  <c r="D30" i="36"/>
  <c r="C178" i="43"/>
  <c r="AX4" i="41"/>
  <c r="C59" i="39"/>
  <c r="B281" i="5"/>
  <c r="M11" i="48"/>
  <c r="B22" i="5"/>
  <c r="AE4" i="41"/>
  <c r="G6" i="44"/>
  <c r="B171" i="5"/>
  <c r="B173" i="5"/>
  <c r="H48" i="70" s="1"/>
  <c r="E34" i="39"/>
  <c r="AU4" i="41"/>
  <c r="E35" i="39"/>
  <c r="E36" i="39"/>
  <c r="B247" i="5"/>
  <c r="D40" i="36"/>
  <c r="B8" i="62"/>
  <c r="L57" i="18"/>
  <c r="B20" i="56"/>
  <c r="C16" i="39"/>
  <c r="B25" i="46"/>
  <c r="F25" i="46" s="1"/>
  <c r="B30" i="54" s="1"/>
  <c r="E23" i="46"/>
  <c r="C28" i="51" s="1"/>
  <c r="F23" i="46"/>
  <c r="C18" i="5"/>
  <c r="C12" i="5"/>
  <c r="F49" i="48" s="1"/>
  <c r="C13" i="5"/>
  <c r="F50" i="48" s="1"/>
  <c r="C11" i="5"/>
  <c r="F48" i="48" s="1"/>
  <c r="C10" i="5"/>
  <c r="F47" i="48" s="1"/>
  <c r="C16" i="5"/>
  <c r="F51" i="48" s="1"/>
  <c r="C9" i="5"/>
  <c r="F46" i="48" s="1"/>
  <c r="C152" i="43"/>
  <c r="E54" i="39"/>
  <c r="F51" i="39" s="1"/>
  <c r="BG4" i="41"/>
  <c r="C220" i="43"/>
  <c r="C217" i="43"/>
  <c r="C221" i="43" s="1"/>
  <c r="K5" i="54" s="1"/>
  <c r="D17" i="54" s="1"/>
  <c r="B8" i="44"/>
  <c r="B9" i="44"/>
  <c r="B41" i="44"/>
  <c r="C41" i="44" s="1"/>
  <c r="E108" i="43"/>
  <c r="C12" i="46"/>
  <c r="H12" i="46" s="1"/>
  <c r="D49" i="70" l="1"/>
  <c r="D48" i="70"/>
  <c r="B67" i="5"/>
  <c r="D18" i="70"/>
  <c r="D22" i="70" s="1"/>
  <c r="F13" i="44"/>
  <c r="F28" i="44" s="1"/>
  <c r="P15" i="48"/>
  <c r="L42" i="70"/>
  <c r="Q15" i="48"/>
  <c r="T15" i="48" s="1"/>
  <c r="F20" i="44"/>
  <c r="F23" i="44" s="1"/>
  <c r="F3" i="54"/>
  <c r="D19" i="44"/>
  <c r="D22" i="44" s="1"/>
  <c r="D11" i="44"/>
  <c r="D20" i="44"/>
  <c r="D23" i="44" s="1"/>
  <c r="B54" i="44"/>
  <c r="D3" i="54"/>
  <c r="D15" i="44"/>
  <c r="L39" i="70"/>
  <c r="P39" i="70" s="1"/>
  <c r="B10" i="54"/>
  <c r="S15" i="48"/>
  <c r="T13" i="48"/>
  <c r="H20" i="44"/>
  <c r="H23" i="44" s="1"/>
  <c r="H13" i="44"/>
  <c r="H28" i="44" s="1"/>
  <c r="H3" i="54"/>
  <c r="P13" i="48"/>
  <c r="B58" i="3"/>
  <c r="I34" i="3"/>
  <c r="N14" i="48"/>
  <c r="P14" i="48"/>
  <c r="B11" i="54"/>
  <c r="Q14" i="48"/>
  <c r="E10" i="44"/>
  <c r="E15" i="44"/>
  <c r="E19" i="44"/>
  <c r="E22" i="44" s="1"/>
  <c r="E5" i="54"/>
  <c r="D11" i="54" s="1"/>
  <c r="F11" i="54" s="1"/>
  <c r="D10" i="46"/>
  <c r="I10" i="46" s="1"/>
  <c r="D5" i="54"/>
  <c r="D10" i="54" s="1"/>
  <c r="F10" i="54" s="1"/>
  <c r="D9" i="46"/>
  <c r="I9" i="46" s="1"/>
  <c r="E25" i="43"/>
  <c r="B44" i="70"/>
  <c r="D54" i="73" s="1"/>
  <c r="B38" i="3" s="1"/>
  <c r="D53" i="73"/>
  <c r="B37" i="3" s="1"/>
  <c r="J6" i="44"/>
  <c r="B260" i="5"/>
  <c r="B258" i="5"/>
  <c r="C192" i="43"/>
  <c r="C189" i="43"/>
  <c r="C159" i="43"/>
  <c r="C162" i="43"/>
  <c r="B28" i="54"/>
  <c r="C27" i="51"/>
  <c r="B174" i="5"/>
  <c r="M16" i="48"/>
  <c r="E59" i="39"/>
  <c r="D80" i="39"/>
  <c r="C68" i="39"/>
  <c r="AQ4" i="41" s="1"/>
  <c r="D12" i="46"/>
  <c r="I12" i="46" s="1"/>
  <c r="G5" i="54"/>
  <c r="D13" i="54" s="1"/>
  <c r="F13" i="54" s="1"/>
  <c r="AZ4" i="41"/>
  <c r="BI4" i="41" s="1"/>
  <c r="F52" i="39"/>
  <c r="F50" i="39"/>
  <c r="F49" i="39"/>
  <c r="F54" i="39"/>
  <c r="B35" i="56"/>
  <c r="G9" i="44"/>
  <c r="G8" i="44"/>
  <c r="B290" i="5"/>
  <c r="B288" i="5"/>
  <c r="K6" i="44"/>
  <c r="C307" i="5"/>
  <c r="B19" i="44"/>
  <c r="B22" i="44" s="1"/>
  <c r="B10" i="44"/>
  <c r="B15" i="44"/>
  <c r="C11" i="51"/>
  <c r="C13" i="51"/>
  <c r="C6" i="44"/>
  <c r="B65" i="5"/>
  <c r="C27" i="46"/>
  <c r="AG4" i="41"/>
  <c r="K23" i="48"/>
  <c r="B24" i="5"/>
  <c r="Q11" i="48"/>
  <c r="AH4" i="41"/>
  <c r="C20" i="62"/>
  <c r="H33" i="36"/>
  <c r="E30" i="36"/>
  <c r="D20" i="62" s="1"/>
  <c r="I33" i="36"/>
  <c r="C31" i="39"/>
  <c r="G16" i="39"/>
  <c r="H16" i="39" s="1"/>
  <c r="D16" i="39"/>
  <c r="D8" i="62"/>
  <c r="C26" i="62"/>
  <c r="E40" i="36"/>
  <c r="D26" i="62" s="1"/>
  <c r="C161" i="5"/>
  <c r="C171" i="5"/>
  <c r="C165" i="5"/>
  <c r="C163" i="5"/>
  <c r="C167" i="5"/>
  <c r="C162" i="5"/>
  <c r="C166" i="5"/>
  <c r="C160" i="5"/>
  <c r="C159" i="5"/>
  <c r="O15" i="48"/>
  <c r="O17" i="48"/>
  <c r="O11" i="48"/>
  <c r="P11" i="48"/>
  <c r="O13" i="48"/>
  <c r="O14" i="48"/>
  <c r="N11" i="48"/>
  <c r="E31" i="36"/>
  <c r="D21" i="62" s="1"/>
  <c r="C21" i="62"/>
  <c r="B226" i="5"/>
  <c r="B228" i="5"/>
  <c r="I6" i="44"/>
  <c r="D52" i="70" l="1"/>
  <c r="H52" i="70" s="1"/>
  <c r="D50" i="70"/>
  <c r="B59" i="3"/>
  <c r="I35" i="3"/>
  <c r="B60" i="3"/>
  <c r="I36" i="3"/>
  <c r="T14" i="48"/>
  <c r="S14" i="48"/>
  <c r="E3" i="54"/>
  <c r="E11" i="44"/>
  <c r="E20" i="44"/>
  <c r="E23" i="44" s="1"/>
  <c r="E13" i="44"/>
  <c r="E28" i="44" s="1"/>
  <c r="I8" i="44"/>
  <c r="I9" i="44"/>
  <c r="B68" i="5"/>
  <c r="C19" i="51"/>
  <c r="C15" i="51"/>
  <c r="AI4" i="41"/>
  <c r="C21" i="51"/>
  <c r="M12" i="48"/>
  <c r="C6" i="51"/>
  <c r="G10" i="44"/>
  <c r="G15" i="44"/>
  <c r="G19" i="44"/>
  <c r="G22" i="44" s="1"/>
  <c r="Q16" i="48"/>
  <c r="B13" i="54"/>
  <c r="C221" i="5"/>
  <c r="C217" i="5"/>
  <c r="C222" i="5"/>
  <c r="C213" i="5"/>
  <c r="C214" i="5"/>
  <c r="C223" i="5"/>
  <c r="C216" i="5"/>
  <c r="C215" i="5"/>
  <c r="C211" i="5"/>
  <c r="C226" i="5"/>
  <c r="C220" i="5"/>
  <c r="C225" i="5"/>
  <c r="C212" i="5"/>
  <c r="C218" i="5"/>
  <c r="C210" i="5"/>
  <c r="C38" i="39"/>
  <c r="C43" i="39"/>
  <c r="D31" i="39"/>
  <c r="E16" i="39" s="1"/>
  <c r="G31" i="39"/>
  <c r="H31" i="39" s="1"/>
  <c r="I2" i="117"/>
  <c r="B291" i="5"/>
  <c r="M20" i="48"/>
  <c r="B42" i="56"/>
  <c r="B44" i="56"/>
  <c r="B45" i="56" s="1"/>
  <c r="J53" i="73"/>
  <c r="AH2" i="117"/>
  <c r="AG2" i="117"/>
  <c r="J52" i="73"/>
  <c r="C313" i="5"/>
  <c r="C45" i="36" s="1"/>
  <c r="D307" i="5"/>
  <c r="C42" i="36"/>
  <c r="K307" i="5"/>
  <c r="P16" i="48"/>
  <c r="O16" i="48"/>
  <c r="C251" i="5"/>
  <c r="C241" i="5"/>
  <c r="C250" i="5"/>
  <c r="C246" i="5"/>
  <c r="C248" i="5"/>
  <c r="C240" i="5"/>
  <c r="C242" i="5"/>
  <c r="C258" i="5"/>
  <c r="C244" i="5"/>
  <c r="C245" i="5"/>
  <c r="C253" i="5"/>
  <c r="C243" i="5"/>
  <c r="C256" i="5"/>
  <c r="C255" i="5"/>
  <c r="C257" i="5"/>
  <c r="C249" i="5"/>
  <c r="C254" i="5"/>
  <c r="C239" i="5"/>
  <c r="R14" i="48"/>
  <c r="T11" i="48"/>
  <c r="R17" i="48"/>
  <c r="R15" i="48"/>
  <c r="S11" i="48"/>
  <c r="R11" i="48"/>
  <c r="R13" i="48"/>
  <c r="C47" i="5"/>
  <c r="C49" i="5"/>
  <c r="C65" i="5"/>
  <c r="C56" i="5"/>
  <c r="C45" i="5"/>
  <c r="C53" i="5"/>
  <c r="C60" i="5"/>
  <c r="C50" i="5"/>
  <c r="C46" i="5"/>
  <c r="C54" i="5"/>
  <c r="C48" i="5"/>
  <c r="C62" i="5"/>
  <c r="C12" i="51"/>
  <c r="C55" i="5"/>
  <c r="C51" i="5"/>
  <c r="C57" i="5"/>
  <c r="C7" i="51"/>
  <c r="C44" i="5"/>
  <c r="C61" i="5"/>
  <c r="C52" i="5"/>
  <c r="C43" i="5"/>
  <c r="K9" i="44"/>
  <c r="K8" i="44"/>
  <c r="D87" i="39"/>
  <c r="E80" i="39" s="1"/>
  <c r="D151" i="43"/>
  <c r="D150" i="43"/>
  <c r="D159" i="43"/>
  <c r="D148" i="43"/>
  <c r="D144" i="43"/>
  <c r="D158" i="43"/>
  <c r="D155" i="43"/>
  <c r="D149" i="43"/>
  <c r="C163" i="43"/>
  <c r="I5" i="54" s="1"/>
  <c r="D15" i="54" s="1"/>
  <c r="D154" i="43"/>
  <c r="D147" i="43"/>
  <c r="D146" i="43"/>
  <c r="D156" i="43"/>
  <c r="D145" i="43"/>
  <c r="D153" i="43"/>
  <c r="D143" i="43"/>
  <c r="B261" i="5"/>
  <c r="Q19" i="48" s="1"/>
  <c r="T19" i="48" s="1"/>
  <c r="M19" i="48"/>
  <c r="B229" i="5"/>
  <c r="Q18" i="48" s="1"/>
  <c r="M18" i="48"/>
  <c r="C314" i="5"/>
  <c r="B13" i="44"/>
  <c r="B28" i="44" s="1"/>
  <c r="C9" i="44"/>
  <c r="C8" i="44"/>
  <c r="B46" i="44"/>
  <c r="D3" i="44"/>
  <c r="B43" i="44"/>
  <c r="C43" i="44" s="1"/>
  <c r="B37" i="44"/>
  <c r="B20" i="44"/>
  <c r="B23" i="44" s="1"/>
  <c r="B11" i="44"/>
  <c r="B16" i="44"/>
  <c r="C276" i="5"/>
  <c r="C272" i="5"/>
  <c r="C288" i="5"/>
  <c r="C273" i="5"/>
  <c r="C278" i="5"/>
  <c r="C283" i="5"/>
  <c r="C280" i="5"/>
  <c r="C277" i="5"/>
  <c r="C274" i="5"/>
  <c r="C279" i="5"/>
  <c r="C284" i="5"/>
  <c r="C282" i="5"/>
  <c r="C275" i="5"/>
  <c r="C285" i="5"/>
  <c r="C287" i="5"/>
  <c r="C271" i="5"/>
  <c r="E68" i="39"/>
  <c r="F59" i="39" s="1"/>
  <c r="D98" i="49" s="1"/>
  <c r="H98" i="49" s="1"/>
  <c r="D173" i="43"/>
  <c r="C193" i="43"/>
  <c r="J5" i="54" s="1"/>
  <c r="D16" i="54" s="1"/>
  <c r="D175" i="43"/>
  <c r="D177" i="43"/>
  <c r="D171" i="43"/>
  <c r="D181" i="43"/>
  <c r="D189" i="43"/>
  <c r="D186" i="43"/>
  <c r="D179" i="43"/>
  <c r="D184" i="43"/>
  <c r="D187" i="43"/>
  <c r="D188" i="43"/>
  <c r="D176" i="43"/>
  <c r="D180" i="43"/>
  <c r="D172" i="43"/>
  <c r="D185" i="43"/>
  <c r="D182" i="43"/>
  <c r="D174" i="43"/>
  <c r="D170" i="43"/>
  <c r="J9" i="44"/>
  <c r="J8" i="44"/>
  <c r="K19" i="44" l="1"/>
  <c r="K22" i="44" s="1"/>
  <c r="K10" i="44"/>
  <c r="J45" i="73"/>
  <c r="R2" i="117"/>
  <c r="C19" i="44"/>
  <c r="C22" i="44" s="1"/>
  <c r="C15" i="44"/>
  <c r="H45" i="44"/>
  <c r="C10" i="44"/>
  <c r="C25" i="44"/>
  <c r="P18" i="48"/>
  <c r="O18" i="48"/>
  <c r="B10" i="62"/>
  <c r="D41" i="36"/>
  <c r="D42" i="36"/>
  <c r="C35" i="56"/>
  <c r="C30" i="56"/>
  <c r="C23" i="56"/>
  <c r="C31" i="56"/>
  <c r="C39" i="56"/>
  <c r="C41" i="56"/>
  <c r="C33" i="56"/>
  <c r="C24" i="56"/>
  <c r="C37" i="56"/>
  <c r="C42" i="56"/>
  <c r="C27" i="56"/>
  <c r="C28" i="56"/>
  <c r="C25" i="56"/>
  <c r="C22" i="56"/>
  <c r="C21" i="56"/>
  <c r="C32" i="56"/>
  <c r="C29" i="56"/>
  <c r="C26" i="56"/>
  <c r="C40" i="56"/>
  <c r="C38" i="56"/>
  <c r="C20" i="56"/>
  <c r="J2" i="117"/>
  <c r="F29" i="73"/>
  <c r="G38" i="39"/>
  <c r="H38" i="39" s="1"/>
  <c r="D38" i="39"/>
  <c r="AS4" i="41"/>
  <c r="G11" i="44"/>
  <c r="G13" i="44"/>
  <c r="G28" i="44" s="1"/>
  <c r="G20" i="44"/>
  <c r="G23" i="44" s="1"/>
  <c r="G3" i="54"/>
  <c r="I19" i="44"/>
  <c r="I22" i="44" s="1"/>
  <c r="I10" i="44"/>
  <c r="J10" i="44"/>
  <c r="J19" i="44"/>
  <c r="J22" i="44" s="1"/>
  <c r="H43" i="44"/>
  <c r="C46" i="44"/>
  <c r="C46" i="36"/>
  <c r="P19" i="48"/>
  <c r="O19" i="48"/>
  <c r="B45" i="36"/>
  <c r="H8" i="62"/>
  <c r="G35" i="75"/>
  <c r="G37" i="75"/>
  <c r="AJ2" i="117"/>
  <c r="F57" i="73"/>
  <c r="C315" i="5"/>
  <c r="D315" i="5" s="1"/>
  <c r="Q20" i="48"/>
  <c r="AT4" i="41"/>
  <c r="E28" i="39"/>
  <c r="E22" i="39"/>
  <c r="E20" i="39"/>
  <c r="E29" i="39"/>
  <c r="C4" i="46"/>
  <c r="E31" i="39"/>
  <c r="E21" i="39"/>
  <c r="E27" i="39"/>
  <c r="E23" i="39"/>
  <c r="E25" i="39"/>
  <c r="E24" i="39"/>
  <c r="E18" i="39"/>
  <c r="E17" i="39"/>
  <c r="E26" i="39"/>
  <c r="E19" i="39"/>
  <c r="N12" i="48"/>
  <c r="P12" i="48"/>
  <c r="O12" i="48"/>
  <c r="D55" i="39"/>
  <c r="BB4" i="41" s="1"/>
  <c r="F65" i="39"/>
  <c r="D104" i="49" s="1"/>
  <c r="F64" i="39"/>
  <c r="D103" i="49" s="1"/>
  <c r="F68" i="39"/>
  <c r="F66" i="39"/>
  <c r="D105" i="49" s="1"/>
  <c r="F60" i="39"/>
  <c r="D99" i="49" s="1"/>
  <c r="F61" i="39"/>
  <c r="D100" i="49" s="1"/>
  <c r="F62" i="39"/>
  <c r="D101" i="49" s="1"/>
  <c r="F63" i="39"/>
  <c r="D102" i="49" s="1"/>
  <c r="F67" i="39"/>
  <c r="D106" i="49" s="1"/>
  <c r="C55" i="39"/>
  <c r="BA4" i="41" s="1"/>
  <c r="E55" i="39"/>
  <c r="C18" i="51"/>
  <c r="C14" i="51"/>
  <c r="C5" i="51"/>
  <c r="C45" i="39"/>
  <c r="D43" i="39" s="1"/>
  <c r="AL4" i="41"/>
  <c r="BV4" i="41"/>
  <c r="AK4" i="41"/>
  <c r="C4" i="61" s="1"/>
  <c r="AM4" i="41"/>
  <c r="AP4" i="41"/>
  <c r="AO4" i="41"/>
  <c r="Q12" i="48"/>
  <c r="C20" i="51"/>
  <c r="AN4" i="41"/>
  <c r="R19" i="48"/>
  <c r="R18" i="48"/>
  <c r="T18" i="48"/>
  <c r="E87" i="39"/>
  <c r="E81" i="39"/>
  <c r="E85" i="39"/>
  <c r="E84" i="39"/>
  <c r="E82" i="39"/>
  <c r="E86" i="39"/>
  <c r="E83" i="39"/>
  <c r="P2" i="117"/>
  <c r="J43" i="73"/>
  <c r="J44" i="73"/>
  <c r="Q2" i="117"/>
  <c r="O20" i="48"/>
  <c r="P20" i="48"/>
  <c r="I16" i="39"/>
  <c r="I29" i="39"/>
  <c r="I17" i="39"/>
  <c r="I28" i="39"/>
  <c r="I27" i="39"/>
  <c r="I26" i="39"/>
  <c r="I24" i="39"/>
  <c r="I20" i="39"/>
  <c r="I21" i="39"/>
  <c r="I22" i="39"/>
  <c r="I25" i="39"/>
  <c r="I19" i="39"/>
  <c r="I31" i="39"/>
  <c r="I18" i="39"/>
  <c r="C3" i="46"/>
  <c r="I23" i="39"/>
  <c r="T16" i="48"/>
  <c r="R16" i="48"/>
  <c r="H99" i="49" l="1"/>
  <c r="B46" i="36"/>
  <c r="D46" i="36" s="1"/>
  <c r="H9" i="62"/>
  <c r="J13" i="44"/>
  <c r="J28" i="44" s="1"/>
  <c r="J20" i="44"/>
  <c r="J23" i="44" s="1"/>
  <c r="J11" i="44"/>
  <c r="J3" i="54"/>
  <c r="F31" i="39"/>
  <c r="F29" i="39"/>
  <c r="F23" i="39"/>
  <c r="F28" i="39"/>
  <c r="F35" i="39"/>
  <c r="F24" i="39"/>
  <c r="F22" i="39"/>
  <c r="F26" i="39"/>
  <c r="F33" i="39"/>
  <c r="AV4" i="41"/>
  <c r="F25" i="39"/>
  <c r="F27" i="39"/>
  <c r="D4" i="46"/>
  <c r="F38" i="39"/>
  <c r="F20" i="39"/>
  <c r="F19" i="39"/>
  <c r="F17" i="39"/>
  <c r="F21" i="39"/>
  <c r="F34" i="39"/>
  <c r="F18" i="39"/>
  <c r="F16" i="39"/>
  <c r="R20" i="48"/>
  <c r="T20" i="48"/>
  <c r="I11" i="44"/>
  <c r="I20" i="44"/>
  <c r="I23" i="44" s="1"/>
  <c r="I3" i="54"/>
  <c r="I13" i="44"/>
  <c r="I28" i="44" s="1"/>
  <c r="J22" i="39"/>
  <c r="J23" i="39"/>
  <c r="I35" i="39"/>
  <c r="J20" i="39"/>
  <c r="J28" i="39"/>
  <c r="J18" i="39"/>
  <c r="I38" i="39"/>
  <c r="I36" i="39"/>
  <c r="J27" i="39"/>
  <c r="J35" i="39"/>
  <c r="J24" i="39"/>
  <c r="D3" i="46"/>
  <c r="J21" i="39"/>
  <c r="J34" i="39"/>
  <c r="J26" i="39"/>
  <c r="J29" i="39"/>
  <c r="J25" i="39"/>
  <c r="J19" i="39"/>
  <c r="I34" i="39"/>
  <c r="J17" i="39"/>
  <c r="J33" i="39"/>
  <c r="J38" i="39"/>
  <c r="I33" i="39"/>
  <c r="J16" i="39"/>
  <c r="K3" i="54"/>
  <c r="K11" i="44"/>
  <c r="K13" i="44"/>
  <c r="K28" i="44" s="1"/>
  <c r="K20" i="44"/>
  <c r="K23" i="44" s="1"/>
  <c r="R12" i="48"/>
  <c r="T12" i="48"/>
  <c r="S12" i="48"/>
  <c r="BW4" i="41"/>
  <c r="D5" i="61" s="1"/>
  <c r="C5" i="61"/>
  <c r="BC4" i="41"/>
  <c r="C13" i="44"/>
  <c r="C28" i="44" s="1"/>
  <c r="B3" i="54"/>
  <c r="B48" i="44"/>
  <c r="C11" i="44"/>
  <c r="C16" i="44"/>
  <c r="C20" i="44"/>
  <c r="C23" i="44" s="1"/>
  <c r="C26" i="44"/>
  <c r="C28" i="62"/>
  <c r="D10" i="62"/>
  <c r="E42" i="36"/>
  <c r="D28" i="62" s="1"/>
  <c r="D45" i="39"/>
  <c r="D44" i="39"/>
  <c r="C47" i="36"/>
  <c r="K314" i="5"/>
  <c r="D9" i="62"/>
  <c r="C27" i="62"/>
  <c r="H43" i="36"/>
  <c r="I43" i="36"/>
  <c r="E41" i="36"/>
  <c r="D27" i="62" s="1"/>
  <c r="D45" i="36" l="1"/>
  <c r="K8" i="62" s="1"/>
  <c r="C48" i="44"/>
  <c r="H46" i="44"/>
  <c r="B47" i="36"/>
  <c r="D47" i="36" s="1"/>
  <c r="H10" i="62"/>
  <c r="BM4" i="41"/>
  <c r="BH4" i="41"/>
  <c r="AW4" i="41"/>
  <c r="E46" i="36"/>
  <c r="D30" i="62" s="1"/>
  <c r="K9" i="62"/>
  <c r="C30" i="62"/>
  <c r="I48" i="36" l="1"/>
  <c r="I89" i="36" s="1"/>
  <c r="C29" i="62"/>
  <c r="E45" i="36"/>
  <c r="D29" i="62" s="1"/>
  <c r="C31" i="62"/>
  <c r="K10" i="62"/>
  <c r="E47" i="36"/>
  <c r="D31" i="62" s="1"/>
  <c r="H48" i="36"/>
  <c r="H89" i="36" s="1"/>
  <c r="C75" i="62" l="1"/>
  <c r="E3" i="62" s="1"/>
  <c r="H3" i="62" s="1"/>
  <c r="D4" i="36"/>
</calcChain>
</file>

<file path=xl/comments1.xml><?xml version="1.0" encoding="utf-8"?>
<comments xmlns="http://schemas.openxmlformats.org/spreadsheetml/2006/main">
  <authors>
    <author>EMATER/RS-ASCAR</author>
  </authors>
  <commentList>
    <comment ref="C12" authorId="0" shapeId="0">
      <text>
        <r>
          <rPr>
            <b/>
            <sz val="9"/>
            <color indexed="81"/>
            <rFont val="Tahoma"/>
            <family val="2"/>
          </rPr>
          <t xml:space="preserve">Exemplo: 
Período inicial: julho-2019
</t>
        </r>
      </text>
    </comment>
  </commentList>
</comments>
</file>

<file path=xl/comments2.xml><?xml version="1.0" encoding="utf-8"?>
<comments xmlns="http://schemas.openxmlformats.org/spreadsheetml/2006/main">
  <authors>
    <author>vinicius.lampert</author>
  </authors>
  <commentList>
    <comment ref="C4" authorId="0" shapeId="0">
      <text>
        <r>
          <rPr>
            <b/>
            <sz val="9"/>
            <color indexed="81"/>
            <rFont val="Segoe UI"/>
            <family val="2"/>
          </rPr>
          <t xml:space="preserve">Dicas de Preenchimento 
Área:  verifique o que pedem as células de cor azuil e preencha nas de cor cinza. 
Área "PRIMEIRO OU ÚNICO PLANTIO"  quer dizer, a área onde não há repetição de plantio. Área "SEGUNDO PLANTIO NA MESMA ÁREA" significa que é usada a mesma área para mais de um cultivo. Por exemplo quando se planta milho/silagem e planta milho/grão na mesma área (safrinha).
Por exemplo o agricultor  planta 3 ha milho/grão e colhe o grão e planta mais 1 ha para grão safrinha. Se essa 1 ha de safrinha fosse para silagem.....iria como área repetida de silagem. 
</t>
        </r>
      </text>
    </comment>
    <comment ref="H26" authorId="0" shapeId="0">
      <text>
        <r>
          <rPr>
            <b/>
            <sz val="9"/>
            <color indexed="81"/>
            <rFont val="Segoe UI"/>
            <family val="2"/>
          </rPr>
          <t>Sobressemeadura na área perene, se houver</t>
        </r>
      </text>
    </comment>
  </commentList>
</comments>
</file>

<file path=xl/comments3.xml><?xml version="1.0" encoding="utf-8"?>
<comments xmlns="http://schemas.openxmlformats.org/spreadsheetml/2006/main">
  <authors>
    <author>vinicius.lampert</author>
  </authors>
  <commentList>
    <comment ref="P7" authorId="0" shapeId="0">
      <text>
        <r>
          <rPr>
            <b/>
            <sz val="9"/>
            <color indexed="81"/>
            <rFont val="Segoe UI"/>
            <family val="2"/>
          </rPr>
          <t>A média refere-se apenas aos meses com consumo de alimento (meses zerados não entram na conta)</t>
        </r>
      </text>
    </comment>
    <comment ref="B8" authorId="0" shapeId="0">
      <text>
        <r>
          <rPr>
            <b/>
            <sz val="9"/>
            <color indexed="81"/>
            <rFont val="Segoe UI"/>
            <family val="2"/>
          </rPr>
          <t>Informe a quantidade diária de silagem fornecida em média para cada vaca em lactação.
(total de balaios por dia x peso dos balaios / qtde de vacas em lactação)
Calcular a média diária em cada mês.</t>
        </r>
      </text>
    </comment>
    <comment ref="B9" authorId="0" shapeId="0">
      <text>
        <r>
          <rPr>
            <b/>
            <sz val="9"/>
            <color indexed="81"/>
            <rFont val="Segoe UI"/>
            <family val="2"/>
          </rPr>
          <t>Informe a quantidade diária média de concentrado fornecido para cada vaca em lactação.
Calcular o valor médio diário fornecido em cada mês.</t>
        </r>
      </text>
    </comment>
    <comment ref="B10" authorId="0" shapeId="0">
      <text>
        <r>
          <rPr>
            <b/>
            <sz val="9"/>
            <color indexed="81"/>
            <rFont val="Segoe UI"/>
            <family val="2"/>
          </rPr>
          <t>- Marque com um "X": se a pastagem faz parte de sua alimentação.
- Deixe em branco se toda a alimentação é fornecida na forma de silagem e concentrado.</t>
        </r>
      </text>
    </comment>
  </commentList>
</comments>
</file>

<file path=xl/comments4.xml><?xml version="1.0" encoding="utf-8"?>
<comments xmlns="http://schemas.openxmlformats.org/spreadsheetml/2006/main">
  <authors>
    <author>urubatan</author>
    <author>Vinicius</author>
    <author>EMATER/RS-ASCAR</author>
  </authors>
  <commentList>
    <comment ref="B4" authorId="0" shapeId="0">
      <text>
        <r>
          <rPr>
            <b/>
            <sz val="14"/>
            <color indexed="10"/>
            <rFont val="Tahoma"/>
            <family val="2"/>
          </rPr>
          <t>ANOTAR TODA PRODUÇÃO . Anotar a parte vendida e a parte  utilizada  em outras atividades na propriedade</t>
        </r>
      </text>
    </comment>
    <comment ref="F6" authorId="1" shapeId="0">
      <text>
        <r>
          <rPr>
            <b/>
            <sz val="14"/>
            <color indexed="81"/>
            <rFont val="Segoe UI"/>
            <family val="2"/>
          </rPr>
          <t>Caso não tenha efetuada a venda, informe o preço de mercado da época)</t>
        </r>
      </text>
    </comment>
    <comment ref="M6" authorId="0" shapeId="0">
      <text>
        <r>
          <rPr>
            <b/>
            <sz val="12"/>
            <color indexed="10"/>
            <rFont val="Tahoma"/>
            <family val="2"/>
          </rPr>
          <t>prestação de serviço de inseminador, operador de maquinas, etc....</t>
        </r>
        <r>
          <rPr>
            <sz val="8"/>
            <color indexed="81"/>
            <rFont val="Tahoma"/>
            <family val="2"/>
          </rPr>
          <t xml:space="preserve">
</t>
        </r>
      </text>
    </comment>
    <comment ref="J7" authorId="1" shapeId="0">
      <text>
        <r>
          <rPr>
            <b/>
            <sz val="14"/>
            <color indexed="81"/>
            <rFont val="Segoe UI"/>
            <family val="2"/>
          </rPr>
          <t>Para fins de contabilização como receita financeira, o estoque deve ser igual a ZERO, ou seja, deve-se vender ou utilizar o grão no ano corrente (ajuste as colunas H e I até que a coluna J fique igual a zero).</t>
        </r>
      </text>
    </comment>
    <comment ref="D25" authorId="0" shapeId="0">
      <text>
        <r>
          <rPr>
            <b/>
            <sz val="14"/>
            <color indexed="81"/>
            <rFont val="Tahoma"/>
            <family val="2"/>
          </rPr>
          <t xml:space="preserve">
Usar preço bruto da nota fiscal do leite (com o FUNRURAL).
 Adiciona-se o valor do Funrural em função de que mais adiante ele calcula este valor e inclui como custo.</t>
        </r>
        <r>
          <rPr>
            <sz val="14"/>
            <color indexed="81"/>
            <rFont val="Tahoma"/>
            <family val="2"/>
          </rPr>
          <t xml:space="preserve">
</t>
        </r>
      </text>
    </comment>
    <comment ref="Z67" authorId="2" shapeId="0">
      <text>
        <r>
          <rPr>
            <b/>
            <sz val="12"/>
            <color indexed="10"/>
            <rFont val="Tahoma"/>
            <family val="2"/>
          </rPr>
          <t xml:space="preserve">O SOMATORIO DAS VENDAS + CONSUMO COMO ALIMENTOS + USO EM AGROINDUSTRIALIZAÇÃO+PROPRIEDADE (COLUNAS H, I J ) DEVE FECHAR COM A COLUNA DA PRODUÇÃO (E).
</t>
        </r>
      </text>
    </comment>
  </commentList>
</comments>
</file>

<file path=xl/comments5.xml><?xml version="1.0" encoding="utf-8"?>
<comments xmlns="http://schemas.openxmlformats.org/spreadsheetml/2006/main">
  <authors>
    <author>urubatan</author>
    <author>EMATER/RS-ASCAR</author>
  </authors>
  <commentList>
    <comment ref="E8" authorId="0" shapeId="0">
      <text>
        <r>
          <rPr>
            <b/>
            <sz val="10"/>
            <color indexed="10"/>
            <rFont val="Tahoma"/>
            <family val="2"/>
          </rPr>
          <t xml:space="preserve">tempo destinado a todo trabalho realizado com as atividdes da propriedade
exemplo= se é estudante quanto tempo ajuda na propiedade. Se aposentado, considerar também.
</t>
        </r>
      </text>
    </comment>
    <comment ref="C22" authorId="1" shapeId="0">
      <text>
        <r>
          <rPr>
            <b/>
            <sz val="9"/>
            <color indexed="81"/>
            <rFont val="Tahoma"/>
            <family val="2"/>
          </rPr>
          <t xml:space="preserve">
informar o % de tempo com relação a semana de 40 horas:
por exemplo: 50% da semana, significa que trabalha meio expediente. 
Se faz horas extras , informar por exemplo 110 %(significa que faz 10% a mais que as 40 horas semanais)</t>
        </r>
      </text>
    </comment>
    <comment ref="P38" authorId="1" shapeId="0">
      <text>
        <r>
          <rPr>
            <b/>
            <sz val="9"/>
            <color indexed="81"/>
            <rFont val="Tahoma"/>
            <family val="2"/>
          </rPr>
          <t>FALSO = DEVIDO HAVER VALOR NA MÃO OBRA CONTRATADA( F 30 a F33) E NÃO HAVER RATEIO CORRETO</t>
        </r>
      </text>
    </comment>
  </commentList>
</comments>
</file>

<file path=xl/comments6.xml><?xml version="1.0" encoding="utf-8"?>
<comments xmlns="http://schemas.openxmlformats.org/spreadsheetml/2006/main">
  <authors>
    <author>Usuário</author>
    <author>EMATER/RS-ASCAR</author>
  </authors>
  <commentList>
    <comment ref="E89" authorId="0" shapeId="0">
      <text>
        <r>
          <rPr>
            <b/>
            <sz val="8"/>
            <color indexed="81"/>
            <rFont val="Tahoma"/>
            <family val="2"/>
          </rPr>
          <t>QUANTIDADE EM KG POR HECTARE</t>
        </r>
      </text>
    </comment>
    <comment ref="E113" authorId="0" shapeId="0">
      <text>
        <r>
          <rPr>
            <b/>
            <sz val="8"/>
            <color indexed="81"/>
            <rFont val="Tahoma"/>
            <family val="2"/>
          </rPr>
          <t>QUANTIDADE EM KG POR HECTARE</t>
        </r>
      </text>
    </comment>
    <comment ref="E137" authorId="0" shapeId="0">
      <text>
        <r>
          <rPr>
            <b/>
            <sz val="8"/>
            <color indexed="81"/>
            <rFont val="Tahoma"/>
            <family val="2"/>
          </rPr>
          <t>QUANTIDADE EM KG POR HECTARE</t>
        </r>
      </text>
    </comment>
    <comment ref="E160" authorId="0" shapeId="0">
      <text>
        <r>
          <rPr>
            <b/>
            <sz val="8"/>
            <color indexed="81"/>
            <rFont val="Tahoma"/>
            <family val="2"/>
          </rPr>
          <t>QUANTIDADE EM KG POR HECTARE</t>
        </r>
      </text>
    </comment>
    <comment ref="E183" authorId="0" shapeId="0">
      <text>
        <r>
          <rPr>
            <b/>
            <sz val="8"/>
            <color indexed="81"/>
            <rFont val="Tahoma"/>
            <family val="2"/>
          </rPr>
          <t>QUANTIDADE EM KG POR HECTARE</t>
        </r>
      </text>
    </comment>
    <comment ref="E207" authorId="0" shapeId="0">
      <text>
        <r>
          <rPr>
            <b/>
            <sz val="8"/>
            <color indexed="81"/>
            <rFont val="Tahoma"/>
            <family val="2"/>
          </rPr>
          <t>QUANTIDADE EM KG POR HECTARE</t>
        </r>
      </text>
    </comment>
    <comment ref="E231" authorId="0" shapeId="0">
      <text>
        <r>
          <rPr>
            <b/>
            <sz val="8"/>
            <color indexed="81"/>
            <rFont val="Tahoma"/>
            <family val="2"/>
          </rPr>
          <t>QUANTIDADE EM KG POR HECTARE</t>
        </r>
      </text>
    </comment>
    <comment ref="C235" authorId="1" shapeId="0">
      <text>
        <r>
          <rPr>
            <b/>
            <sz val="12"/>
            <color indexed="10"/>
            <rFont val="Tahoma"/>
            <family val="2"/>
          </rPr>
          <t xml:space="preserve">Combustível. </t>
        </r>
        <r>
          <rPr>
            <b/>
            <sz val="9"/>
            <color indexed="81"/>
            <rFont val="Tahoma"/>
            <family val="2"/>
          </rPr>
          <t xml:space="preserve">
</t>
        </r>
        <r>
          <rPr>
            <b/>
            <sz val="11"/>
            <color indexed="10"/>
            <rFont val="Tahoma"/>
            <family val="2"/>
          </rPr>
          <t>Esta despesa por ser relatada também na aba "outras despesas", sobre o total de litros e depois fazer o rateio, o que pode agilizar o prenchimento.</t>
        </r>
        <r>
          <rPr>
            <b/>
            <sz val="9"/>
            <color indexed="10"/>
            <rFont val="Tahoma"/>
            <family val="2"/>
          </rPr>
          <t xml:space="preserve">
</t>
        </r>
        <r>
          <rPr>
            <b/>
            <sz val="9"/>
            <color indexed="81"/>
            <rFont val="Tahoma"/>
            <family val="2"/>
          </rPr>
          <t xml:space="preserve">
</t>
        </r>
      </text>
    </comment>
    <comment ref="E252" authorId="0" shapeId="0">
      <text>
        <r>
          <rPr>
            <b/>
            <sz val="8"/>
            <color indexed="81"/>
            <rFont val="Tahoma"/>
            <family val="2"/>
          </rPr>
          <t>QUANTIDADE EM KG POR HECTARE</t>
        </r>
      </text>
    </comment>
    <comment ref="C256" authorId="1" shapeId="0">
      <text>
        <r>
          <rPr>
            <b/>
            <sz val="12"/>
            <color indexed="10"/>
            <rFont val="Tahoma"/>
            <family val="2"/>
          </rPr>
          <t xml:space="preserve">Combustível. </t>
        </r>
        <r>
          <rPr>
            <b/>
            <sz val="9"/>
            <color indexed="81"/>
            <rFont val="Tahoma"/>
            <family val="2"/>
          </rPr>
          <t xml:space="preserve">
</t>
        </r>
        <r>
          <rPr>
            <b/>
            <sz val="11"/>
            <color indexed="10"/>
            <rFont val="Tahoma"/>
            <family val="2"/>
          </rPr>
          <t>Esta despesa por ser relatada também na aba "outras despesas", sobre o total de litros e depois fazer o rateio, o que pode agilizar o prenchimento.</t>
        </r>
        <r>
          <rPr>
            <b/>
            <sz val="9"/>
            <color indexed="10"/>
            <rFont val="Tahoma"/>
            <family val="2"/>
          </rPr>
          <t xml:space="preserve">
</t>
        </r>
        <r>
          <rPr>
            <b/>
            <sz val="9"/>
            <color indexed="81"/>
            <rFont val="Tahoma"/>
            <family val="2"/>
          </rPr>
          <t xml:space="preserve">
</t>
        </r>
      </text>
    </comment>
    <comment ref="E273" authorId="0" shapeId="0">
      <text>
        <r>
          <rPr>
            <b/>
            <sz val="8"/>
            <color indexed="81"/>
            <rFont val="Tahoma"/>
            <family val="2"/>
          </rPr>
          <t>QUANTIDADE EM KG POR HECTARE</t>
        </r>
      </text>
    </comment>
    <comment ref="C282" authorId="1" shapeId="0">
      <text>
        <r>
          <rPr>
            <b/>
            <sz val="12"/>
            <color indexed="10"/>
            <rFont val="Tahoma"/>
            <family val="2"/>
          </rPr>
          <t xml:space="preserve">Combustível. </t>
        </r>
        <r>
          <rPr>
            <b/>
            <sz val="9"/>
            <color indexed="81"/>
            <rFont val="Tahoma"/>
            <family val="2"/>
          </rPr>
          <t xml:space="preserve">
</t>
        </r>
        <r>
          <rPr>
            <b/>
            <sz val="11"/>
            <color indexed="10"/>
            <rFont val="Tahoma"/>
            <family val="2"/>
          </rPr>
          <t>Esta despesa por ser relatada também na aba "outras despesas", sobre o total de litros e depois fazer o rateio, o que pode agilizar o prenchimento.</t>
        </r>
        <r>
          <rPr>
            <b/>
            <sz val="9"/>
            <color indexed="10"/>
            <rFont val="Tahoma"/>
            <family val="2"/>
          </rPr>
          <t xml:space="preserve">
</t>
        </r>
        <r>
          <rPr>
            <b/>
            <sz val="9"/>
            <color indexed="81"/>
            <rFont val="Tahoma"/>
            <family val="2"/>
          </rPr>
          <t xml:space="preserve">
</t>
        </r>
      </text>
    </comment>
    <comment ref="E294" authorId="0" shapeId="0">
      <text>
        <r>
          <rPr>
            <b/>
            <sz val="8"/>
            <color indexed="81"/>
            <rFont val="Tahoma"/>
            <family val="2"/>
          </rPr>
          <t>QUANTIDADE EM KG POR HECTARE</t>
        </r>
      </text>
    </comment>
    <comment ref="C303" authorId="1" shapeId="0">
      <text>
        <r>
          <rPr>
            <b/>
            <sz val="12"/>
            <color indexed="10"/>
            <rFont val="Tahoma"/>
            <family val="2"/>
          </rPr>
          <t xml:space="preserve">Combustível. </t>
        </r>
        <r>
          <rPr>
            <b/>
            <sz val="9"/>
            <color indexed="81"/>
            <rFont val="Tahoma"/>
            <family val="2"/>
          </rPr>
          <t xml:space="preserve">
</t>
        </r>
        <r>
          <rPr>
            <b/>
            <sz val="11"/>
            <color indexed="10"/>
            <rFont val="Tahoma"/>
            <family val="2"/>
          </rPr>
          <t>Esta despesa por ser relatada também na aba "outras despesas", sobre o total de litros e depois fazer o rateio, o que pode agilizar o prenchimento.</t>
        </r>
        <r>
          <rPr>
            <b/>
            <sz val="9"/>
            <color indexed="10"/>
            <rFont val="Tahoma"/>
            <family val="2"/>
          </rPr>
          <t xml:space="preserve">
</t>
        </r>
        <r>
          <rPr>
            <b/>
            <sz val="9"/>
            <color indexed="81"/>
            <rFont val="Tahoma"/>
            <family val="2"/>
          </rPr>
          <t xml:space="preserve">
</t>
        </r>
      </text>
    </comment>
    <comment ref="E317" authorId="0" shapeId="0">
      <text>
        <r>
          <rPr>
            <b/>
            <sz val="8"/>
            <color indexed="81"/>
            <rFont val="Tahoma"/>
            <family val="2"/>
          </rPr>
          <t>QUANTIDADE EM KG POR HECTARE</t>
        </r>
      </text>
    </comment>
    <comment ref="C326" authorId="1" shapeId="0">
      <text>
        <r>
          <rPr>
            <b/>
            <sz val="12"/>
            <color indexed="10"/>
            <rFont val="Tahoma"/>
            <family val="2"/>
          </rPr>
          <t xml:space="preserve">Combustível. </t>
        </r>
        <r>
          <rPr>
            <b/>
            <sz val="9"/>
            <color indexed="81"/>
            <rFont val="Tahoma"/>
            <family val="2"/>
          </rPr>
          <t xml:space="preserve">
</t>
        </r>
        <r>
          <rPr>
            <b/>
            <sz val="11"/>
            <color indexed="10"/>
            <rFont val="Tahoma"/>
            <family val="2"/>
          </rPr>
          <t>Esta despesa por ser relatada também na aba "outras despesas", sobre o total de litros e depois fazer o rateio, o que pode agilizar o prenchimento.</t>
        </r>
        <r>
          <rPr>
            <b/>
            <sz val="9"/>
            <color indexed="10"/>
            <rFont val="Tahoma"/>
            <family val="2"/>
          </rPr>
          <t xml:space="preserve">
</t>
        </r>
        <r>
          <rPr>
            <b/>
            <sz val="9"/>
            <color indexed="81"/>
            <rFont val="Tahoma"/>
            <family val="2"/>
          </rPr>
          <t xml:space="preserve">
</t>
        </r>
      </text>
    </comment>
    <comment ref="E338" authorId="0" shapeId="0">
      <text>
        <r>
          <rPr>
            <b/>
            <sz val="8"/>
            <color indexed="81"/>
            <rFont val="Tahoma"/>
            <family val="2"/>
          </rPr>
          <t>QUANTIDADE EM KG POR HECTARE</t>
        </r>
      </text>
    </comment>
    <comment ref="C354" authorId="1" shapeId="0">
      <text>
        <r>
          <rPr>
            <b/>
            <sz val="12"/>
            <color indexed="10"/>
            <rFont val="Tahoma"/>
            <family val="2"/>
          </rPr>
          <t xml:space="preserve">Combustível. </t>
        </r>
        <r>
          <rPr>
            <b/>
            <sz val="9"/>
            <color indexed="81"/>
            <rFont val="Tahoma"/>
            <family val="2"/>
          </rPr>
          <t xml:space="preserve">
</t>
        </r>
        <r>
          <rPr>
            <b/>
            <sz val="11"/>
            <color indexed="10"/>
            <rFont val="Tahoma"/>
            <family val="2"/>
          </rPr>
          <t>Esta despesa por ser relatada também na aba "outras despesas", sobre o total de litros e depois fazer o rateio, o que pode agilizar o prenchimento.</t>
        </r>
        <r>
          <rPr>
            <b/>
            <sz val="9"/>
            <color indexed="10"/>
            <rFont val="Tahoma"/>
            <family val="2"/>
          </rPr>
          <t xml:space="preserve">
</t>
        </r>
        <r>
          <rPr>
            <b/>
            <sz val="9"/>
            <color indexed="81"/>
            <rFont val="Tahoma"/>
            <family val="2"/>
          </rPr>
          <t xml:space="preserve">
</t>
        </r>
      </text>
    </comment>
    <comment ref="E363" authorId="0" shapeId="0">
      <text>
        <r>
          <rPr>
            <b/>
            <sz val="8"/>
            <color indexed="81"/>
            <rFont val="Tahoma"/>
            <family val="2"/>
          </rPr>
          <t>QUANTIDADE EM KG POR HECTARE</t>
        </r>
      </text>
    </comment>
    <comment ref="C379" authorId="1" shapeId="0">
      <text>
        <r>
          <rPr>
            <b/>
            <sz val="12"/>
            <color indexed="10"/>
            <rFont val="Tahoma"/>
            <family val="2"/>
          </rPr>
          <t xml:space="preserve">Combustível. </t>
        </r>
        <r>
          <rPr>
            <b/>
            <sz val="9"/>
            <color indexed="81"/>
            <rFont val="Tahoma"/>
            <family val="2"/>
          </rPr>
          <t xml:space="preserve">
</t>
        </r>
        <r>
          <rPr>
            <b/>
            <sz val="11"/>
            <color indexed="10"/>
            <rFont val="Tahoma"/>
            <family val="2"/>
          </rPr>
          <t>Esta despesa por ser relatada também na aba "outras despesas", sobre o total de litros e depois fazer o rateio, o que pode agilizar o prenchimento.</t>
        </r>
        <r>
          <rPr>
            <b/>
            <sz val="9"/>
            <color indexed="10"/>
            <rFont val="Tahoma"/>
            <family val="2"/>
          </rPr>
          <t xml:space="preserve">
</t>
        </r>
        <r>
          <rPr>
            <b/>
            <sz val="9"/>
            <color indexed="81"/>
            <rFont val="Tahoma"/>
            <family val="2"/>
          </rPr>
          <t xml:space="preserve">
</t>
        </r>
      </text>
    </comment>
    <comment ref="E389" authorId="0" shapeId="0">
      <text>
        <r>
          <rPr>
            <b/>
            <sz val="8"/>
            <color indexed="81"/>
            <rFont val="Tahoma"/>
            <family val="2"/>
          </rPr>
          <t>QUANTIDADE EM KG POR HECTARE</t>
        </r>
      </text>
    </comment>
    <comment ref="C405" authorId="1" shapeId="0">
      <text>
        <r>
          <rPr>
            <b/>
            <sz val="12"/>
            <color indexed="10"/>
            <rFont val="Tahoma"/>
            <family val="2"/>
          </rPr>
          <t xml:space="preserve">Combustível. </t>
        </r>
        <r>
          <rPr>
            <b/>
            <sz val="9"/>
            <color indexed="81"/>
            <rFont val="Tahoma"/>
            <family val="2"/>
          </rPr>
          <t xml:space="preserve">
</t>
        </r>
        <r>
          <rPr>
            <b/>
            <sz val="11"/>
            <color indexed="10"/>
            <rFont val="Tahoma"/>
            <family val="2"/>
          </rPr>
          <t>Esta despesa por ser relatada também na aba "outras despesas", sobre o total de litros e depois fazer o rateio, o que pode agilizar o prenchimento.</t>
        </r>
        <r>
          <rPr>
            <b/>
            <sz val="9"/>
            <color indexed="10"/>
            <rFont val="Tahoma"/>
            <family val="2"/>
          </rPr>
          <t xml:space="preserve">
</t>
        </r>
        <r>
          <rPr>
            <b/>
            <sz val="9"/>
            <color indexed="81"/>
            <rFont val="Tahoma"/>
            <family val="2"/>
          </rPr>
          <t xml:space="preserve">
</t>
        </r>
      </text>
    </comment>
    <comment ref="I413" authorId="1" shapeId="0">
      <text>
        <r>
          <rPr>
            <b/>
            <sz val="9"/>
            <color indexed="81"/>
            <rFont val="Tahoma"/>
            <family val="2"/>
          </rPr>
          <t>CONSIDERANDO A SUPERFICIE ÚTIL DO VERÃO</t>
        </r>
        <r>
          <rPr>
            <sz val="9"/>
            <color indexed="81"/>
            <rFont val="Tahoma"/>
            <family val="2"/>
          </rPr>
          <t xml:space="preserve">
</t>
        </r>
      </text>
    </comment>
  </commentList>
</comments>
</file>

<file path=xl/comments7.xml><?xml version="1.0" encoding="utf-8"?>
<comments xmlns="http://schemas.openxmlformats.org/spreadsheetml/2006/main">
  <authors>
    <author>EMATER/RS-ASCAR</author>
  </authors>
  <commentList>
    <comment ref="B23" authorId="0" shapeId="0">
      <text>
        <r>
          <rPr>
            <b/>
            <sz val="9"/>
            <color indexed="81"/>
            <rFont val="Tahoma"/>
            <family val="2"/>
          </rPr>
          <t>insumos adquiridos de outros agentes econômicos</t>
        </r>
        <r>
          <rPr>
            <sz val="9"/>
            <color indexed="81"/>
            <rFont val="Tahoma"/>
            <family val="2"/>
          </rPr>
          <t xml:space="preserve">
</t>
        </r>
      </text>
    </comment>
  </commentList>
</comments>
</file>

<file path=xl/comments8.xml><?xml version="1.0" encoding="utf-8"?>
<comments xmlns="http://schemas.openxmlformats.org/spreadsheetml/2006/main">
  <authors>
    <author>urubatan</author>
  </authors>
  <commentList>
    <comment ref="C7" authorId="0" shapeId="0">
      <text>
        <r>
          <rPr>
            <b/>
            <sz val="8"/>
            <color indexed="81"/>
            <rFont val="Tahoma"/>
            <family val="2"/>
          </rPr>
          <t>coclocar o percentual que será rateado</t>
        </r>
      </text>
    </comment>
  </commentList>
</comments>
</file>

<file path=xl/comments9.xml><?xml version="1.0" encoding="utf-8"?>
<comments xmlns="http://schemas.openxmlformats.org/spreadsheetml/2006/main">
  <authors>
    <author>EMATER/RS-ASCAR</author>
  </authors>
  <commentList>
    <comment ref="A2" authorId="0" shapeId="0">
      <text>
        <r>
          <rPr>
            <b/>
            <sz val="9"/>
            <color indexed="81"/>
            <rFont val="Tahoma"/>
            <family val="2"/>
          </rPr>
          <t>ÀREA UTILIZADA NA ATIVIDADE LEITIRA: 
Considera área de pastagem sem repetição e área proporcional oas grãos consumidos pela atividade.</t>
        </r>
      </text>
    </comment>
    <comment ref="D5" authorId="0" shapeId="0">
      <text>
        <r>
          <rPr>
            <b/>
            <sz val="9"/>
            <color indexed="81"/>
            <rFont val="Tahoma"/>
            <family val="2"/>
          </rPr>
          <t>sobressemeadura: plantio de alguma pastagem de inverno em cima da área perene.</t>
        </r>
      </text>
    </comment>
    <comment ref="D7" authorId="0" shapeId="0">
      <text>
        <r>
          <rPr>
            <b/>
            <sz val="9"/>
            <color indexed="81"/>
            <rFont val="Tahoma"/>
            <family val="2"/>
          </rPr>
          <t xml:space="preserve">Média= area de verão + área de inverno, dividido por dois
</t>
        </r>
      </text>
    </comment>
  </commentList>
</comments>
</file>

<file path=xl/comments10.xml><?xml version="1.0" encoding="utf-8"?>
<comments xmlns="http://schemas.openxmlformats.org/spreadsheetml/2006/main">
  <authors>
    <author>EMATER/RS-ASCAR</author>
  </authors>
  <commentList>
    <comment ref="G4" authorId="0" shapeId="0">
      <text>
        <r>
          <rPr>
            <sz val="12"/>
            <color indexed="81"/>
            <rFont val="Tahoma"/>
            <family val="2"/>
          </rPr>
          <t xml:space="preserve">Tabela-Sugestão de vida útil para o calculo da depreciação
Trator: 25 anos
Colheitadeira: 20 anos
 Semeadeiras : 15 anos
oredenhadeira :15 anos
resfriador : 20 anos
</t>
        </r>
        <r>
          <rPr>
            <sz val="9"/>
            <color indexed="81"/>
            <rFont val="Tahoma"/>
            <family val="2"/>
          </rPr>
          <t xml:space="preserve">
</t>
        </r>
      </text>
    </comment>
    <comment ref="L4" authorId="0" shapeId="0">
      <text>
        <r>
          <rPr>
            <b/>
            <sz val="10"/>
            <color indexed="10"/>
            <rFont val="Tahoma"/>
            <family val="2"/>
          </rPr>
          <t>Atenção:
Caso não se tenha estes dados, podemos utilizar valor em torno de 30 % da depreciação anual</t>
        </r>
      </text>
    </comment>
  </commentList>
</comments>
</file>

<file path=xl/comments11.xml><?xml version="1.0" encoding="utf-8"?>
<comments xmlns="http://schemas.openxmlformats.org/spreadsheetml/2006/main">
  <authors>
    <author>EMATER/RS-ASCAR</author>
  </authors>
  <commentList>
    <comment ref="B3" authorId="0" shapeId="0">
      <text>
        <r>
          <rPr>
            <sz val="9"/>
            <color indexed="81"/>
            <rFont val="Tahoma"/>
            <family val="2"/>
          </rPr>
          <t xml:space="preserve">
</t>
        </r>
        <r>
          <rPr>
            <sz val="12"/>
            <color indexed="81"/>
            <rFont val="Tahoma"/>
            <family val="2"/>
          </rPr>
          <t xml:space="preserve">Além de construções , deverão ser colocados aqui investimentos como: 
 </t>
        </r>
        <r>
          <rPr>
            <b/>
            <sz val="12"/>
            <color indexed="81"/>
            <rFont val="Tahoma"/>
            <family val="2"/>
          </rPr>
          <t>pastagens perenes</t>
        </r>
        <r>
          <rPr>
            <sz val="12"/>
            <color indexed="81"/>
            <rFont val="Tahoma"/>
            <family val="2"/>
          </rPr>
          <t xml:space="preserve"> como por exemplo:implantação de tífton ( área construida seria área implantada, valor total seria o valor total do investimento inicial (mudas, adubo, cal´cario, serviços, etc)e duração podeíamos  padronizar em 10 anos.
OBS: o custeio anual de pastagens perenes serão preenchidos na planilha "gastos com cultivo", aqui seria somente o investimento inicial de implantação.</t>
        </r>
      </text>
    </comment>
    <comment ref="E4" authorId="0" shapeId="0">
      <text>
        <r>
          <rPr>
            <sz val="9"/>
            <color indexed="81"/>
            <rFont val="Tahoma"/>
            <family val="2"/>
          </rPr>
          <t xml:space="preserve">
Utilizar os seguintes parãmetros
construção alvernaria.....50 anos
- construção madeira .......30 anos
- construção mista .............40 anos
Obs: para algumas construções, pode-se utilizar valores já experimentados: ex: uma pocilga integrada  deprecia mais rápido, em poucos anos precisa reforma quase total, neste caso utilizamos 20 anos.
</t>
        </r>
      </text>
    </comment>
    <comment ref="L4" authorId="0" shapeId="0">
      <text>
        <r>
          <rPr>
            <b/>
            <sz val="12"/>
            <color indexed="10"/>
            <rFont val="Tahoma"/>
            <family val="2"/>
          </rPr>
          <t>Atenção:
Caso não se tenha estes dados, podemos utilizar valor em torno de 10 % da depreciação anual</t>
        </r>
      </text>
    </comment>
    <comment ref="L15" authorId="0" shapeId="0">
      <text>
        <r>
          <rPr>
            <b/>
            <sz val="12"/>
            <color indexed="10"/>
            <rFont val="Tahoma"/>
            <family val="2"/>
          </rPr>
          <t xml:space="preserve">Atenção:
No caso de equipamentos , como por exemplo irrigação, utilizar 30% da depreciação; 
No caso de Pomar ou pastagens perenes, não utilizar gastos, pois estes irão no custeio anual, destas culturas.
</t>
        </r>
      </text>
    </comment>
  </commentList>
</comments>
</file>

<file path=xl/comments12.xml><?xml version="1.0" encoding="utf-8"?>
<comments xmlns="http://schemas.openxmlformats.org/spreadsheetml/2006/main">
  <authors>
    <author>EMATER/RS-ASCAR</author>
  </authors>
  <commentList>
    <comment ref="B2" authorId="0" shapeId="0">
      <text>
        <r>
          <rPr>
            <b/>
            <sz val="9"/>
            <color indexed="81"/>
            <rFont val="Tahoma"/>
            <family val="2"/>
          </rPr>
          <t xml:space="preserve">São os estabelecimentos agrícolas e suas famílias (também chamados de propriedades ou tecnicamente unidades de produção-UdP) que compõem a rede de familias integrantes da Rede Leite.
A observação é o  acompanhamento integral da propriedade. Este acompanhamento é  baseado em visitas periódicas do(a) Extensionista (e pesquisadores conforme a necessidade)  ao sistema de produção. Nessas visitas discute-se as atividades da família. Além disso, é realizado o registro das atividades. Depois de cada visita, os extensionistas realizam uma avaliação das informações colhidas, sistematizando-os e procurando estabelecer proposições factíveis a serem restituídas ao produtor. Após, ocorre a restituição dessa avaliação e das proposições para o produtor, quando se procura obter uma avaliação preliminar desse (produtor), incluindo esse elemento nas visitas subseqüentes, quando for o caso, com registro de resultados qualitativos e quantitativos – se possível mensuráveis.
codigos: utilizamos codigos objetivando não expor particularidades das famílias.
</t>
        </r>
      </text>
    </comment>
    <comment ref="D2" authorId="0" shapeId="0">
      <text>
        <r>
          <rPr>
            <sz val="9"/>
            <color indexed="81"/>
            <rFont val="Tahoma"/>
            <family val="2"/>
          </rPr>
          <t xml:space="preserve">Toda área utilizada, considerando proprias, arrendadas e/ou posse
</t>
        </r>
      </text>
    </comment>
    <comment ref="E2" authorId="0" shapeId="0">
      <text>
        <r>
          <rPr>
            <b/>
            <sz val="9"/>
            <color indexed="81"/>
            <rFont val="Tahoma"/>
            <family val="2"/>
          </rPr>
          <t>toda área utilizada para produção deduzidas área efetivamente inaproveitadas para produção(matas nativas, sangas, rochas...)</t>
        </r>
        <r>
          <rPr>
            <sz val="9"/>
            <color indexed="81"/>
            <rFont val="Tahoma"/>
            <family val="2"/>
          </rPr>
          <t xml:space="preserve">
</t>
        </r>
      </text>
    </comment>
    <comment ref="F2" authorId="0" shapeId="0">
      <text>
        <r>
          <rPr>
            <b/>
            <sz val="9"/>
            <color indexed="81"/>
            <rFont val="Tahoma"/>
            <family val="2"/>
          </rPr>
          <t>UTF = equivale ao trabalho de 1 ano de uma pessoa, coorigido de acordo com a idade:
12 a 17 ano : 65% da UTF
17 a 60 anos: 100%
+ 60 anos : 75% da UTF
Também corrige-se o tempo trabalhado
por ex: 1 pessoa que trabalha meio turno na propriedade e tem 16 anos:
 1 x 0,5 x 0,65 = 0,375 UTF</t>
        </r>
        <r>
          <rPr>
            <sz val="9"/>
            <color indexed="81"/>
            <rFont val="Tahoma"/>
            <family val="2"/>
          </rPr>
          <t xml:space="preserve">
Obs: É somente considerado a MãoObra Familiar neste indicador.</t>
        </r>
      </text>
    </comment>
    <comment ref="J2" authorId="0" shapeId="0">
      <text>
        <r>
          <rPr>
            <b/>
            <sz val="9"/>
            <color indexed="81"/>
            <rFont val="Tahoma"/>
            <family val="2"/>
          </rPr>
          <t xml:space="preserve">Somatorio da área sendo pastagens , silagens e áreas proprorcionais aos grãos utilizados na atividade leiteira.
Obs: considera-se verão de novembro a abril)
</t>
        </r>
      </text>
    </comment>
    <comment ref="K2" authorId="0" shapeId="0">
      <text>
        <r>
          <rPr>
            <b/>
            <sz val="9"/>
            <color indexed="81"/>
            <rFont val="Tahoma"/>
            <family val="2"/>
          </rPr>
          <t xml:space="preserve">Somatorio da área utlilizada na atividade leiteira ,no inverno sendo: pastagens , silagens e áreas proprorcionais aos grãos utilizados na atividade leiteira. Inclusive a área de perene de verão  que fica "parada" no inverno.
</t>
        </r>
        <r>
          <rPr>
            <sz val="9"/>
            <color indexed="81"/>
            <rFont val="Tahoma"/>
            <family val="2"/>
          </rPr>
          <t xml:space="preserve">
</t>
        </r>
      </text>
    </comment>
    <comment ref="L2" authorId="0" shapeId="0">
      <text>
        <r>
          <rPr>
            <b/>
            <sz val="9"/>
            <color indexed="81"/>
            <rFont val="Tahoma"/>
            <family val="2"/>
          </rPr>
          <t>media da área total utilizada no inverno e verão. Medias dos dois indicadores anteriores.</t>
        </r>
      </text>
    </comment>
    <comment ref="N2" authorId="0" shapeId="0">
      <text>
        <r>
          <rPr>
            <b/>
            <sz val="9"/>
            <color indexed="81"/>
            <rFont val="Tahoma"/>
            <family val="2"/>
          </rPr>
          <t>Somatorio de todas as áreas de pastagens de verão + somatorio de todas as áreas de pastagens de inverno, sendo o total dividido por 2</t>
        </r>
      </text>
    </comment>
    <comment ref="O2" authorId="0" shapeId="0">
      <text>
        <r>
          <rPr>
            <b/>
            <sz val="9"/>
            <color indexed="81"/>
            <rFont val="Tahoma"/>
            <family val="2"/>
          </rPr>
          <t>Todos as categorias de animais, inclusive machos que são criados e que são oriundos da atividade leiteira.</t>
        </r>
        <r>
          <rPr>
            <sz val="9"/>
            <color indexed="81"/>
            <rFont val="Tahoma"/>
            <family val="2"/>
          </rPr>
          <t xml:space="preserve">
</t>
        </r>
      </text>
    </comment>
    <comment ref="P2" authorId="0" shapeId="0">
      <text>
        <r>
          <rPr>
            <b/>
            <sz val="9"/>
            <color indexed="81"/>
            <rFont val="Tahoma"/>
            <family val="2"/>
          </rPr>
          <t xml:space="preserve">Todas as vacas inclusive vacas que também são utilizadas para tração nas tarefas da atividade leiteira mas que também contribuem com produção de leite, quer para venda e consumo,quer para amamentar tereneiras(os)
</t>
        </r>
      </text>
    </comment>
    <comment ref="S2" authorId="0" shapeId="0">
      <text>
        <r>
          <rPr>
            <b/>
            <sz val="9"/>
            <color indexed="81"/>
            <rFont val="Tahoma"/>
            <family val="2"/>
          </rPr>
          <t>Considera o peso de todo rebanho dividido po 450 Kg (peso convencionado para 01 Unidade animal)</t>
        </r>
      </text>
    </comment>
    <comment ref="X2" authorId="0" shapeId="0">
      <text>
        <r>
          <rPr>
            <b/>
            <sz val="9"/>
            <color indexed="81"/>
            <rFont val="Tahoma"/>
            <family val="2"/>
          </rPr>
          <t xml:space="preserve">Toda produção leiteira (vendida, consumida alimento, consumida terneira) enfim, tudo que sai do úbere.
</t>
        </r>
        <r>
          <rPr>
            <sz val="9"/>
            <color indexed="81"/>
            <rFont val="Tahoma"/>
            <family val="2"/>
          </rPr>
          <t xml:space="preserve">
</t>
        </r>
      </text>
    </comment>
    <comment ref="AA2" authorId="0" shapeId="0">
      <text>
        <r>
          <rPr>
            <b/>
            <sz val="9"/>
            <color indexed="81"/>
            <rFont val="Tahoma"/>
            <family val="2"/>
          </rPr>
          <t>Toda produção que sai do úbere</t>
        </r>
        <r>
          <rPr>
            <sz val="9"/>
            <color indexed="81"/>
            <rFont val="Tahoma"/>
            <family val="2"/>
          </rPr>
          <t xml:space="preserve">
</t>
        </r>
      </text>
    </comment>
    <comment ref="AB2" authorId="0" shapeId="0">
      <text>
        <r>
          <rPr>
            <b/>
            <sz val="9"/>
            <color indexed="81"/>
            <rFont val="Tahoma"/>
            <family val="2"/>
          </rPr>
          <t xml:space="preserve">Produção vaca total/ano = produção de leite no ano dividodo pelo numero médio de vacas que permaneceram na UO durante o ano
</t>
        </r>
      </text>
    </comment>
    <comment ref="AC2" authorId="0" shapeId="0">
      <text>
        <r>
          <rPr>
            <b/>
            <sz val="9"/>
            <color indexed="81"/>
            <rFont val="Tahoma"/>
            <family val="2"/>
          </rPr>
          <t>produção total dividida pelo numero total de vacas e dividida por 365 dias</t>
        </r>
      </text>
    </comment>
    <comment ref="AD2" authorId="0" shapeId="0">
      <text>
        <r>
          <rPr>
            <b/>
            <sz val="9"/>
            <color indexed="81"/>
            <rFont val="Tahoma"/>
            <family val="2"/>
          </rPr>
          <t>produção total de leite , dividida pela media das área de verão e inverno(considerando toda área destinada para o leite-grãso, silagens, pasto, etc..)</t>
        </r>
        <r>
          <rPr>
            <sz val="9"/>
            <color indexed="81"/>
            <rFont val="Tahoma"/>
            <family val="2"/>
          </rPr>
          <t xml:space="preserve">
</t>
        </r>
      </text>
    </comment>
    <comment ref="AE2" authorId="0" shapeId="0">
      <text>
        <r>
          <rPr>
            <b/>
            <sz val="9"/>
            <color indexed="81"/>
            <rFont val="Tahoma"/>
            <family val="2"/>
          </rPr>
          <t xml:space="preserve">Aqui é considerado todo o sistema de produção sendo grãos e produção animal. ( não consideramos a renda não agrícola como aposentadoria e prestação de serviços)
MARGEM BRUTA (MB)= Renda Bruta - Custo Operacional Efetivo..... sendo
1. Renda bruta da UO = Todas as vendas de produção (in natura ou processada) + toda produção consumida como alimento da família 
2.Custo operacional efetivo ( COE ) -R$/ano = gastos efetivamente pago à terceiros  com mão de obra contratada, insumos, serviços , impostos e taxas, reparos em benfeitorias e máquinas e outras despesas de custeio; 
</t>
        </r>
      </text>
    </comment>
    <comment ref="AF2" authorId="0" shapeId="0">
      <text>
        <r>
          <rPr>
            <b/>
            <sz val="9"/>
            <color indexed="81"/>
            <rFont val="Tahoma"/>
            <family val="2"/>
          </rPr>
          <t>Todas as depreciações de maquinas e equipamentos.
Depreciação= valor novo- valor de sucata dividido pela vida util.</t>
        </r>
      </text>
    </comment>
    <comment ref="AG2" authorId="0" shapeId="0">
      <text>
        <r>
          <rPr>
            <b/>
            <sz val="9"/>
            <color indexed="81"/>
            <rFont val="Tahoma"/>
            <family val="2"/>
          </rPr>
          <t>Margem bruta total da UO menos a depreciação, dividido pela SAU.</t>
        </r>
        <r>
          <rPr>
            <sz val="9"/>
            <color indexed="81"/>
            <rFont val="Tahoma"/>
            <family val="2"/>
          </rPr>
          <t xml:space="preserve">
</t>
        </r>
      </text>
    </comment>
    <comment ref="AI2" authorId="0" shapeId="0">
      <text>
        <r>
          <rPr>
            <b/>
            <sz val="9"/>
            <color indexed="81"/>
            <rFont val="Tahoma"/>
            <family val="2"/>
          </rPr>
          <t xml:space="preserve">Margem Bruta= Renda bruta da atividade leite- Custo Operacional Efetivo da atividade.
1. Renda bruta da atividade leiteira - RBA (R$/ano) = venda de leite + venda de animais+ vendas de leite processado(queijos, iogurtes, etc);
4. Custo operacional efetivo da atividade leiteira - COE (R$/ano) = mão de obra contratada, concentrados, manutenção de forrageiras não-anuais, mineralização, sanidade, energia e e combustíveis, material de ordenha, inseminação artificial, frete de leite, impostos e taxas, reparos em benfeitorias e máquinas e outras despesas de custeio; </t>
        </r>
      </text>
    </comment>
    <comment ref="BA2" authorId="0" shapeId="0">
      <text>
        <r>
          <rPr>
            <sz val="9"/>
            <color indexed="81"/>
            <rFont val="Tahoma"/>
            <family val="2"/>
          </rPr>
          <t>gastos com todos insumos destinado a produção de alimentos, compra de alimentos de terceiros 
Tudo comparado aos demais gastos</t>
        </r>
      </text>
    </comment>
    <comment ref="BB2" authorId="0" shapeId="0">
      <text>
        <r>
          <rPr>
            <sz val="9"/>
            <color indexed="81"/>
            <rFont val="Tahoma"/>
            <family val="2"/>
          </rPr>
          <t xml:space="preserve">
Depreciação de maquinas e equipamentos utilizados para produção de alimentos.</t>
        </r>
      </text>
    </comment>
    <comment ref="BJ2" authorId="0" shapeId="0">
      <text>
        <r>
          <rPr>
            <b/>
            <sz val="9"/>
            <color indexed="81"/>
            <rFont val="Tahoma"/>
            <family val="2"/>
          </rPr>
          <t xml:space="preserve">silagem consumida pelas vacas totais.
</t>
        </r>
      </text>
    </comment>
    <comment ref="BN2" authorId="0" shapeId="0">
      <text>
        <r>
          <rPr>
            <b/>
            <sz val="9"/>
            <color indexed="81"/>
            <rFont val="Tahoma"/>
            <family val="2"/>
          </rPr>
          <t xml:space="preserve"> Total de litros produzidos dividido pelo numero de vaca total que permaneceram no ano......e dividido pela quantidade de kg consumida pelo rebanho total ao ano</t>
        </r>
      </text>
    </comment>
    <comment ref="BO2" authorId="0" shapeId="0">
      <text>
        <r>
          <rPr>
            <sz val="9"/>
            <color indexed="81"/>
            <rFont val="Tahoma"/>
            <family val="2"/>
          </rPr>
          <t>Litros vaca total ano meno 10 litros...dividido pela quantidade deconcentrado consumida pelo rebanho.
Obs: Consideramos que até 10 litros as vacas deveriam produzir a partir dos volumosos.</t>
        </r>
      </text>
    </comment>
    <comment ref="BP2" authorId="0" shapeId="0">
      <text>
        <r>
          <rPr>
            <b/>
            <sz val="9"/>
            <color indexed="81"/>
            <rFont val="Tahoma"/>
            <family val="2"/>
          </rPr>
          <t xml:space="preserve">Considera que se as vacas em lactação demandam 3% do peso vivo em materia seca de alimento total e os demais animais do rebanho 2%,  a materia seca do </t>
        </r>
        <r>
          <rPr>
            <b/>
            <u/>
            <sz val="9"/>
            <color indexed="81"/>
            <rFont val="Tahoma"/>
            <family val="2"/>
          </rPr>
          <t>concentrado</t>
        </r>
        <r>
          <rPr>
            <b/>
            <sz val="9"/>
            <color indexed="81"/>
            <rFont val="Tahoma"/>
            <family val="2"/>
          </rPr>
          <t xml:space="preserve"> representa o percentual indicado nesta célula. </t>
        </r>
        <r>
          <rPr>
            <sz val="9"/>
            <color indexed="81"/>
            <rFont val="Tahoma"/>
            <family val="2"/>
          </rPr>
          <t xml:space="preserve">
</t>
        </r>
      </text>
    </comment>
    <comment ref="BQ2" authorId="0" shapeId="0">
      <text>
        <r>
          <rPr>
            <b/>
            <sz val="9"/>
            <color indexed="81"/>
            <rFont val="Tahoma"/>
            <family val="2"/>
          </rPr>
          <t xml:space="preserve">Considera que se as vacas em lactação demandam 3% do peso vivo em materia seca total de alimento total e os demais animais do rebanho 2%,  a materia seca da silagem  representa o percentual indicado nesta célula. </t>
        </r>
        <r>
          <rPr>
            <sz val="9"/>
            <color indexed="81"/>
            <rFont val="Tahoma"/>
            <family val="2"/>
          </rPr>
          <t xml:space="preserve">
</t>
        </r>
      </text>
    </comment>
    <comment ref="BR2" authorId="0" shapeId="0">
      <text>
        <r>
          <rPr>
            <b/>
            <sz val="9"/>
            <color indexed="81"/>
            <rFont val="Tahoma"/>
            <family val="2"/>
          </rPr>
          <t xml:space="preserve">Considera que se as vacas em lactação demandam 3% do peso vivo em materia seca total de alimento total e os demais animais do rebanho 2%,  a materia seca do concentrado e da silagem  representam o percentual indicado nesta célula. 
</t>
        </r>
      </text>
    </comment>
    <comment ref="BS2" authorId="0" shapeId="0">
      <text>
        <r>
          <rPr>
            <b/>
            <sz val="9"/>
            <color indexed="81"/>
            <rFont val="Tahoma"/>
            <family val="2"/>
          </rPr>
          <t>Preço médio de comercialização, conforme indicado na aba "produção"</t>
        </r>
      </text>
    </comment>
  </commentList>
</comments>
</file>

<file path=xl/comments13.xml><?xml version="1.0" encoding="utf-8"?>
<comments xmlns="http://schemas.openxmlformats.org/spreadsheetml/2006/main">
  <authors>
    <author>EMATER/RS-ASCAR</author>
  </authors>
  <commentList>
    <comment ref="E11" authorId="0" shapeId="0">
      <text>
        <r>
          <rPr>
            <b/>
            <sz val="9"/>
            <color indexed="81"/>
            <rFont val="Tahoma"/>
            <family val="2"/>
          </rPr>
          <t xml:space="preserve">Preço equivalente: todo valor da comercialização dos produtos da atividade leite dividido pelo leite produzido
</t>
        </r>
      </text>
    </comment>
    <comment ref="G14" authorId="0" shapeId="0">
      <text>
        <r>
          <rPr>
            <b/>
            <sz val="9"/>
            <color indexed="81"/>
            <rFont val="Tahoma"/>
            <family val="2"/>
          </rPr>
          <t xml:space="preserve">A diferença entre produção e atividade e calculada em função da proporção da renda bruta do leite e da venda de animias.
Trata-se de um artifício para estimar
</t>
        </r>
        <r>
          <rPr>
            <sz val="9"/>
            <color indexed="81"/>
            <rFont val="Tahoma"/>
            <family val="2"/>
          </rPr>
          <t xml:space="preserve">
</t>
        </r>
      </text>
    </comment>
    <comment ref="H15" authorId="0" shapeId="0">
      <text>
        <r>
          <rPr>
            <b/>
            <sz val="9"/>
            <color indexed="81"/>
            <rFont val="Tahoma"/>
            <family val="2"/>
          </rPr>
          <t>"produzido" "entre aspa", pois neste calculo não consideramos o leite destinado às terneiras como produção. Isso se deve apenas por que este leite das terneiras não entrou no cálculo do custo.  Mas também não entra como renda.</t>
        </r>
      </text>
    </comment>
  </commentList>
</comments>
</file>

<file path=xl/comments14.xml><?xml version="1.0" encoding="utf-8"?>
<comments xmlns="http://schemas.openxmlformats.org/spreadsheetml/2006/main">
  <authors>
    <author>EMATER/RS-ASCAR</author>
  </authors>
  <commentList>
    <comment ref="A19" authorId="0" shapeId="0">
      <text>
        <r>
          <rPr>
            <sz val="9"/>
            <color indexed="81"/>
            <rFont val="Tahoma"/>
            <family val="2"/>
          </rPr>
          <t xml:space="preserve">UTF : CONSIDERA SOMENTE M.Obra DOS MEMBROS DA FAMILIA
</t>
        </r>
      </text>
    </comment>
  </commentList>
</comments>
</file>

<file path=xl/comments15.xml><?xml version="1.0" encoding="utf-8"?>
<comments xmlns="http://schemas.openxmlformats.org/spreadsheetml/2006/main">
  <authors>
    <author>EMATER/RS-ASCAR</author>
  </authors>
  <commentList>
    <comment ref="B5" authorId="0" shapeId="0">
      <text>
        <r>
          <rPr>
            <b/>
            <sz val="9"/>
            <color indexed="81"/>
            <rFont val="Tahoma"/>
            <family val="2"/>
          </rPr>
          <t>Simule aqui o preço do leite</t>
        </r>
      </text>
    </comment>
  </commentList>
</comments>
</file>

<file path=xl/sharedStrings.xml><?xml version="1.0" encoding="utf-8"?>
<sst xmlns="http://schemas.openxmlformats.org/spreadsheetml/2006/main" count="4226" uniqueCount="1089">
  <si>
    <r>
      <t xml:space="preserve">* </t>
    </r>
    <r>
      <rPr>
        <sz val="10"/>
        <rFont val="Arial"/>
        <family val="2"/>
      </rPr>
      <t>No resultado global, a SAU é representada pela área média da estação de verão e inverno, sem repetição da parte sobreposta pelas "safrinhas".. No caso dos cultivos, a área é repreentada pela área cultivada sem repetição  da parte sobreposta pelas "safrinhas".  A SAU da atividade leite, é representada pela área média inverno e verão de todas ás áreas em cultivos(ou de repouso dos animias) ,cujos gastos são destinados a atividade leiteira (pastagens, silagem, grãos consumidos pelos animas, etc)</t>
    </r>
  </si>
  <si>
    <t>grãos de prod. própria</t>
  </si>
  <si>
    <t>silagens</t>
  </si>
  <si>
    <t>LOTAÇÃO DAS AREAS DE PASTAGENS  ( Unidade animal /ha )*</t>
  </si>
  <si>
    <t>áreas utilizadas (sem repetição)</t>
  </si>
  <si>
    <r>
      <t xml:space="preserve">* </t>
    </r>
    <r>
      <rPr>
        <b/>
        <sz val="10"/>
        <rFont val="Arial"/>
        <family val="2"/>
      </rPr>
      <t>área com base no quandro de áreas utilizadas, apresentado acima.</t>
    </r>
  </si>
  <si>
    <t xml:space="preserve"> * calculado em função da estimativa de consumo total de M.S: vacas lactação 3%, demais animais 2% do P.V.</t>
  </si>
  <si>
    <r>
      <t xml:space="preserve">kg concentrado por vaca lactação  / DIA  </t>
    </r>
    <r>
      <rPr>
        <b/>
        <sz val="12"/>
        <color indexed="10"/>
        <rFont val="Arial"/>
        <family val="2"/>
      </rPr>
      <t>( * *)</t>
    </r>
  </si>
  <si>
    <r>
      <t xml:space="preserve">  Produção Total de Leite </t>
    </r>
    <r>
      <rPr>
        <b/>
        <sz val="14"/>
        <rFont val="Arial"/>
        <family val="2"/>
      </rPr>
      <t>¹</t>
    </r>
  </si>
  <si>
    <t xml:space="preserve">  Produção Total leite por área média (inverno + verão)- litros/ha</t>
  </si>
  <si>
    <r>
      <t xml:space="preserve">kg concentrado por vaca lactação  / dia </t>
    </r>
    <r>
      <rPr>
        <b/>
        <sz val="10"/>
        <rFont val="Arial"/>
        <family val="2"/>
      </rPr>
      <t>6</t>
    </r>
  </si>
  <si>
    <r>
      <t xml:space="preserve">Kg concentrado por litro / ano </t>
    </r>
    <r>
      <rPr>
        <b/>
        <sz val="10"/>
        <rFont val="Arial"/>
        <family val="2"/>
      </rPr>
      <t>7</t>
    </r>
  </si>
  <si>
    <t>Litros de leite por kg de concentrado</t>
  </si>
  <si>
    <r>
      <t xml:space="preserve">Litros de leite por kg de concentrado (acima de 10 litros dia / vaca lactação) </t>
    </r>
    <r>
      <rPr>
        <b/>
        <sz val="10"/>
        <rFont val="Arial"/>
        <family val="2"/>
      </rPr>
      <t>8</t>
    </r>
  </si>
  <si>
    <t>kg silagem/ vaca total  /dia ao ano</t>
  </si>
  <si>
    <r>
      <t xml:space="preserve">Kg concentrado por vaca total / dia ao ano  </t>
    </r>
    <r>
      <rPr>
        <b/>
        <sz val="10"/>
        <rFont val="Arial"/>
        <family val="2"/>
      </rPr>
      <t>5</t>
    </r>
  </si>
  <si>
    <r>
      <t xml:space="preserve">kg silagem/ vaca lactação ao ano </t>
    </r>
    <r>
      <rPr>
        <b/>
        <sz val="10"/>
        <rFont val="Arial"/>
        <family val="2"/>
      </rPr>
      <t>9</t>
    </r>
  </si>
  <si>
    <r>
      <t xml:space="preserve">  Produção total  por vaca total ano (litros) </t>
    </r>
    <r>
      <rPr>
        <sz val="14"/>
        <rFont val="Arial"/>
        <family val="2"/>
      </rPr>
      <t>²</t>
    </r>
  </si>
  <si>
    <r>
      <t xml:space="preserve">  Produção vaca lactação - litros/vaca ao ano</t>
    </r>
    <r>
      <rPr>
        <b/>
        <sz val="10"/>
        <rFont val="Arial"/>
        <family val="2"/>
      </rPr>
      <t xml:space="preserve"> 4</t>
    </r>
  </si>
  <si>
    <r>
      <t xml:space="preserve">  Produção vaca total  por dia.  litros/vaca/dia ao ano</t>
    </r>
    <r>
      <rPr>
        <b/>
        <sz val="14"/>
        <rFont val="Arial"/>
        <family val="2"/>
      </rPr>
      <t xml:space="preserve"> ³</t>
    </r>
  </si>
  <si>
    <t xml:space="preserve">fim de pagina fim de pagina fim de pagina fim de pagina fim de pagina fim de pagina </t>
  </si>
  <si>
    <r>
      <t xml:space="preserve">Primeiro  verifique se há exatidão nos valores de cada quadro abaixo.   Se os valores estão iguais, e mesmo assim a celula </t>
    </r>
    <r>
      <rPr>
        <b/>
        <sz val="14"/>
        <color indexed="53"/>
        <rFont val="Arial"/>
        <family val="2"/>
      </rPr>
      <t>E3</t>
    </r>
    <r>
      <rPr>
        <b/>
        <sz val="14"/>
        <rFont val="Arial"/>
        <family val="2"/>
      </rPr>
      <t xml:space="preserve"> </t>
    </r>
    <r>
      <rPr>
        <b/>
        <sz val="14"/>
        <color indexed="53"/>
        <rFont val="Arial"/>
        <family val="2"/>
      </rPr>
      <t>apresenta  falhas de prenchimento, voce precisa  verificar as falhas na coluna C (linhas 14 a 73).  Nesta coluna onde aparece a expressão "erro", verifique se a falha pode ser  aceitável.   Somente há probabilidade de uma falha ser aceitável, se os valores dos quadros estiverem iguais.</t>
    </r>
  </si>
  <si>
    <t>Prenchimento da área</t>
  </si>
  <si>
    <t>ERROS DE VALORES</t>
  </si>
  <si>
    <t>verão</t>
  </si>
  <si>
    <t>inverno</t>
  </si>
  <si>
    <t>VERÃO</t>
  </si>
  <si>
    <t>INVERNO</t>
  </si>
  <si>
    <t>area de pastejo</t>
  </si>
  <si>
    <t>Area média p/ leite</t>
  </si>
  <si>
    <t>Unidade animal / hectare</t>
  </si>
  <si>
    <t>unidade animal por há média</t>
  </si>
  <si>
    <t>CALCULO DA ÁREAS SILAGEM</t>
  </si>
  <si>
    <t xml:space="preserve">CALCULO DA ÁREAS GRÃOS </t>
  </si>
  <si>
    <t xml:space="preserve">                                SUB TOTAL</t>
  </si>
  <si>
    <t xml:space="preserve">                                 SUB TOTAL</t>
  </si>
  <si>
    <t>unidade</t>
  </si>
  <si>
    <t>quantidade</t>
  </si>
  <si>
    <t>peso unit.</t>
  </si>
  <si>
    <t>peso total</t>
  </si>
  <si>
    <t>valor unit/cab</t>
  </si>
  <si>
    <t>valor total</t>
  </si>
  <si>
    <t>vacas secas</t>
  </si>
  <si>
    <t>terneiras</t>
  </si>
  <si>
    <t>ANIMAIS DE SERVIÇO</t>
  </si>
  <si>
    <t>valor unit</t>
  </si>
  <si>
    <t xml:space="preserve">                        SUB TOTAL</t>
  </si>
  <si>
    <t>LOTAÇÃO NAS PASTAGENS</t>
  </si>
  <si>
    <t>HA VERÃO</t>
  </si>
  <si>
    <t>HA INVERNO</t>
  </si>
  <si>
    <t>HA MEDIA</t>
  </si>
  <si>
    <t>VACAS</t>
  </si>
  <si>
    <t>NOVILHAS E TERNEIRAS</t>
  </si>
  <si>
    <t>TERNEIROS E BOIS</t>
  </si>
  <si>
    <t>ANIMAIS DE SERVIÇOS</t>
  </si>
  <si>
    <t xml:space="preserve">            TOTAL</t>
  </si>
  <si>
    <t>fim de pagina</t>
  </si>
  <si>
    <t>valor produção</t>
  </si>
  <si>
    <t>auditoria</t>
  </si>
  <si>
    <t>Kg</t>
  </si>
  <si>
    <t>sub total</t>
  </si>
  <si>
    <t>total</t>
  </si>
  <si>
    <t xml:space="preserve">   TIPO</t>
  </si>
  <si>
    <t>QUANTIDADE</t>
  </si>
  <si>
    <t>preço unit</t>
  </si>
  <si>
    <t xml:space="preserve">valor </t>
  </si>
  <si>
    <t>VENDA (kg)</t>
  </si>
  <si>
    <t>CONSUMO
ALIMENTO FAMILIA (kg)</t>
  </si>
  <si>
    <t>AUDITORIA</t>
  </si>
  <si>
    <t>kg vivo</t>
  </si>
  <si>
    <t>SUB TOTAL</t>
  </si>
  <si>
    <t>DESTINO</t>
  </si>
  <si>
    <t>SUINOS</t>
  </si>
  <si>
    <t xml:space="preserve">                 AVES</t>
  </si>
  <si>
    <t>abate</t>
  </si>
  <si>
    <t>ovos</t>
  </si>
  <si>
    <t>duzias</t>
  </si>
  <si>
    <t>OUTROS ANIMAIS</t>
  </si>
  <si>
    <t>VENDA 
(QUANTIDADE)</t>
  </si>
  <si>
    <t>CONSUMO
ALIMENTO FAMILIA (QUANTIDADE)</t>
  </si>
  <si>
    <t>DERIVADOS DE LEITE</t>
  </si>
  <si>
    <t>DERIVADOS DE SUINOS</t>
  </si>
  <si>
    <t>TOTAL</t>
  </si>
  <si>
    <t>fim da pagina</t>
  </si>
  <si>
    <t>ITENS</t>
  </si>
  <si>
    <t>audotoria</t>
  </si>
  <si>
    <t>Item</t>
  </si>
  <si>
    <t>R$</t>
  </si>
  <si>
    <t>%</t>
  </si>
  <si>
    <t xml:space="preserve">                                                                TOTAL</t>
  </si>
  <si>
    <t>RESULTADO ATIVIDADE LEITE</t>
  </si>
  <si>
    <t>venda de matriz descarte</t>
  </si>
  <si>
    <t>venda de terneira ou novilha</t>
  </si>
  <si>
    <t>venda de macho</t>
  </si>
  <si>
    <t>área</t>
  </si>
  <si>
    <t>depreciação
maquinas</t>
  </si>
  <si>
    <t>depreciação
construções</t>
  </si>
  <si>
    <t>Tipo</t>
  </si>
  <si>
    <t>Área 
Cons-
truída</t>
  </si>
  <si>
    <t>Valor Total
novo</t>
  </si>
  <si>
    <t>Duração em Anos</t>
  </si>
  <si>
    <t>Depreciação
 Anual</t>
  </si>
  <si>
    <t>fim pagina</t>
  </si>
  <si>
    <t>NOME</t>
  </si>
  <si>
    <t>PARENTESCO</t>
  </si>
  <si>
    <t>IDADE</t>
  </si>
  <si>
    <t>% TEMPO
DISPONÍVEL</t>
  </si>
  <si>
    <t>% TEMPO
 DISPONÍVEL</t>
  </si>
  <si>
    <t>DESPESAS COM MÃO DE OBRA CONTRATADA</t>
  </si>
  <si>
    <t>Tipo/modelo/ano</t>
  </si>
  <si>
    <t>Quantidade</t>
  </si>
  <si>
    <t>Valor Total</t>
  </si>
  <si>
    <t>Depreciação Anual</t>
  </si>
  <si>
    <t>Tipo de cultivo</t>
  </si>
  <si>
    <t>ÁREA (ha):</t>
  </si>
  <si>
    <t>FORMULA ADUBO</t>
  </si>
  <si>
    <t>ITENS (Insumos/serviços)</t>
  </si>
  <si>
    <t>Preço Unitário</t>
  </si>
  <si>
    <t>R$ Total</t>
  </si>
  <si>
    <t>N</t>
  </si>
  <si>
    <t>P</t>
  </si>
  <si>
    <t>K</t>
  </si>
  <si>
    <t>total n</t>
  </si>
  <si>
    <t>total p205</t>
  </si>
  <si>
    <t>total k2o</t>
  </si>
  <si>
    <t>adubo total</t>
  </si>
  <si>
    <t>R$ / ha</t>
  </si>
  <si>
    <t>Adubo / ha</t>
  </si>
  <si>
    <t>total p</t>
  </si>
  <si>
    <t>total k</t>
  </si>
  <si>
    <t xml:space="preserve">R$ / ha </t>
  </si>
  <si>
    <t>R$/ha</t>
  </si>
  <si>
    <t>grãos próprios</t>
  </si>
  <si>
    <t>quantidade
  Kg</t>
  </si>
  <si>
    <t>Valor total
(R$)</t>
  </si>
  <si>
    <t>Tipo ração</t>
  </si>
  <si>
    <t>preço
unitário ( R$)</t>
  </si>
  <si>
    <t>Outras despesas</t>
  </si>
  <si>
    <t>ração comprada</t>
  </si>
  <si>
    <t>outras despesas</t>
  </si>
  <si>
    <t>valor Unitário</t>
  </si>
  <si>
    <t>valor</t>
  </si>
  <si>
    <r>
      <t>Valor</t>
    </r>
    <r>
      <rPr>
        <b/>
        <sz val="12"/>
        <rFont val="Arial"/>
        <family val="2"/>
      </rPr>
      <t xml:space="preserve"> Venda</t>
    </r>
  </si>
  <si>
    <r>
      <t xml:space="preserve"> </t>
    </r>
    <r>
      <rPr>
        <b/>
        <sz val="12"/>
        <color indexed="10"/>
        <rFont val="Arial"/>
        <family val="2"/>
      </rPr>
      <t>valor</t>
    </r>
    <r>
      <rPr>
        <b/>
        <sz val="12"/>
        <rFont val="Arial"/>
        <family val="2"/>
      </rPr>
      <t xml:space="preserve">
 Uso em outras 
atividades na proriedade
(KG)</t>
    </r>
  </si>
  <si>
    <r>
      <t>VALOR</t>
    </r>
    <r>
      <rPr>
        <b/>
        <sz val="10"/>
        <rFont val="Arial"/>
        <family val="2"/>
      </rPr>
      <t xml:space="preserve"> CONSUMO
ALIMENTO FAMILIA (kg)</t>
    </r>
  </si>
  <si>
    <t>anuais verão</t>
  </si>
  <si>
    <t>anuais inverno</t>
  </si>
  <si>
    <t>graos verão</t>
  </si>
  <si>
    <t>graos inverno</t>
  </si>
  <si>
    <t>TOTAL PASTAGENS</t>
  </si>
  <si>
    <t>TOTAL SILAGEM</t>
  </si>
  <si>
    <t>consumo leite alimento</t>
  </si>
  <si>
    <t>consumo matriz alimento</t>
  </si>
  <si>
    <t>consumo terneira novilha alimento</t>
  </si>
  <si>
    <t>consumo macho alimento</t>
  </si>
  <si>
    <t xml:space="preserve">RESULTADO ATIVIDADE </t>
  </si>
  <si>
    <t>gastos grãos proporcional a venda</t>
  </si>
  <si>
    <t>gastos cultivos (A)</t>
  </si>
  <si>
    <t>mão obra (B)</t>
  </si>
  <si>
    <t>GASTOS GRAOS SUINOS</t>
  </si>
  <si>
    <t>gastos graão aves</t>
  </si>
  <si>
    <t>gastos outros animais</t>
  </si>
  <si>
    <t xml:space="preserve">OUTROS ANIMAIS </t>
  </si>
  <si>
    <t>total compras de insumos e serviços</t>
  </si>
  <si>
    <t>geastos graos proporcional leite</t>
  </si>
  <si>
    <t>SILAGENS</t>
  </si>
  <si>
    <t>PRODUÇÃO TOTAL</t>
  </si>
  <si>
    <t>CALCULO DA PROPORCIONALIDADE DO GRÃO E SILAGEM</t>
  </si>
  <si>
    <t>DESEMPENHO ECONÔMICO GLOBAL</t>
  </si>
  <si>
    <t>itens</t>
  </si>
  <si>
    <t>D) DVA - Distribuição do valor Agregado</t>
  </si>
  <si>
    <t>D) RESULTADOS</t>
  </si>
  <si>
    <t xml:space="preserve"> C) DEPRECIAÇÃO  (D)</t>
  </si>
  <si>
    <t xml:space="preserve">   Renda Não Agricola</t>
  </si>
  <si>
    <t xml:space="preserve">   Renda Total</t>
  </si>
  <si>
    <t xml:space="preserve">    sub total</t>
  </si>
  <si>
    <t>total cultivos</t>
  </si>
  <si>
    <t>doses/ano</t>
  </si>
  <si>
    <t xml:space="preserve">                                                                  sub total</t>
  </si>
  <si>
    <t xml:space="preserve"> A   )PRODUÇÃO BRUTA (PB):  COMERCIALIZADA,  E CONSUMO ALIMENTAÇÃO FAMILIA.</t>
  </si>
  <si>
    <t xml:space="preserve">         Venda de GRÃOS</t>
  </si>
  <si>
    <t xml:space="preserve">       insumos e serviços</t>
  </si>
  <si>
    <t xml:space="preserve">       depreciação maquinas e equipamentos</t>
  </si>
  <si>
    <t xml:space="preserve">       depreciação de construções</t>
  </si>
  <si>
    <t xml:space="preserve">                                                                                                              sub total</t>
  </si>
  <si>
    <t xml:space="preserve">            salarios</t>
  </si>
  <si>
    <t xml:space="preserve">            demais</t>
  </si>
  <si>
    <t xml:space="preserve">               sub total</t>
  </si>
  <si>
    <t xml:space="preserve">         Venda de suinos</t>
  </si>
  <si>
    <t xml:space="preserve">   consumo alimentar da familia</t>
  </si>
  <si>
    <t xml:space="preserve">         insumos e serviços para grãos proprios</t>
  </si>
  <si>
    <t xml:space="preserve">       depreciação maquinas e equipamentos grãos proprios</t>
  </si>
  <si>
    <t xml:space="preserve">         Venda de aves e ovos</t>
  </si>
  <si>
    <t xml:space="preserve">         Venda </t>
  </si>
  <si>
    <t>venda</t>
  </si>
  <si>
    <t>AUDITORIAS</t>
  </si>
  <si>
    <t>depreciação</t>
  </si>
  <si>
    <t>deprec groa</t>
  </si>
  <si>
    <t>Uso em Agroindustrialização 
(KG)</t>
  </si>
  <si>
    <t>venda de produtos de industrialoização caseira (queijo,iogurte,etc)</t>
  </si>
  <si>
    <t>consumo dde produtos da industrialização caseira</t>
  </si>
  <si>
    <t xml:space="preserve"> compras para industrialização de leite</t>
  </si>
  <si>
    <t xml:space="preserve">      depreciação de maquinas e equipamentos prod e industrialização do Leite</t>
  </si>
  <si>
    <t xml:space="preserve">      depreciação de construçoes p/ prod e indust.de  Leite</t>
  </si>
  <si>
    <t>MÃO OBRA CONTRATADA</t>
  </si>
  <si>
    <t xml:space="preserve">   venda de prod. Industrializado</t>
  </si>
  <si>
    <t xml:space="preserve">   consumo de produto industrializado</t>
  </si>
  <si>
    <t>FIM DE PAGINA</t>
  </si>
  <si>
    <t>TOTAL %</t>
  </si>
  <si>
    <t>UTILIZAÇÃO DA ÁREA</t>
  </si>
  <si>
    <t>Valor Unitário                 ( novo)</t>
  </si>
  <si>
    <t>vida 
útil</t>
  </si>
  <si>
    <t>VENDAS + CONSUMO ALIMENTO+ USO EM AGROIND.</t>
  </si>
  <si>
    <t>especificações</t>
  </si>
  <si>
    <t>produção de agroindustrialização caseira</t>
  </si>
  <si>
    <t>TOTAL GRAOS</t>
  </si>
  <si>
    <t>insumos utilizados na produção de suinos, aves e outros animais</t>
  </si>
  <si>
    <t>VENDA</t>
  </si>
  <si>
    <t>TOTAL DESTINADO</t>
  </si>
  <si>
    <t>TOTAL PRODUZIDO</t>
  </si>
  <si>
    <t>CONTROLE DE ESTOQUES DE GRÃOS</t>
  </si>
  <si>
    <t>Grãos</t>
  </si>
  <si>
    <t>RA</t>
  </si>
  <si>
    <t>a</t>
  </si>
  <si>
    <t>x</t>
  </si>
  <si>
    <t>b</t>
  </si>
  <si>
    <t>y=ax-b</t>
  </si>
  <si>
    <t>PB menos o CI menos as depesas proporcionais com impostos, taxas, aluguéis e mão-de-obra contratada dividida por unidade de SAU em ha (PB-CI- despesas proporcionais)</t>
  </si>
  <si>
    <t>PB</t>
  </si>
  <si>
    <t>CI</t>
  </si>
  <si>
    <t>S.A.U</t>
  </si>
  <si>
    <t>grafico da RA /utf x nrs</t>
  </si>
  <si>
    <t>TOTAL Mão Obra</t>
  </si>
  <si>
    <t>Salario Mínimo Nacional</t>
  </si>
  <si>
    <t>Renda Agricola / UTF</t>
  </si>
  <si>
    <t>DVA - Proporc.</t>
  </si>
  <si>
    <t>DEPRECIAÇÃO TOTAL ANUAL- despesas não proprcionais</t>
  </si>
  <si>
    <t>DVA- NÂO proporc.</t>
  </si>
  <si>
    <t>total DVA</t>
  </si>
  <si>
    <t>Y=</t>
  </si>
  <si>
    <t>% sobre total</t>
  </si>
  <si>
    <t>CALCULO DA ÁREA PPROPORCIONAL GRÃOS PARA LEITE</t>
  </si>
  <si>
    <t>área total sem repetição</t>
  </si>
  <si>
    <t>prod tot</t>
  </si>
  <si>
    <t>prod leite</t>
  </si>
  <si>
    <t>área leite</t>
  </si>
  <si>
    <t>graos</t>
  </si>
  <si>
    <t>pastagens perenes</t>
  </si>
  <si>
    <t>silagem</t>
  </si>
  <si>
    <t>LOTAÇÃO DAS AREAS DE PASTAGENS  ( Unidade animal /ha )</t>
  </si>
  <si>
    <t>verão  ( ha)</t>
  </si>
  <si>
    <t>inverno  (ha)</t>
  </si>
  <si>
    <t>pastagens anuais</t>
  </si>
  <si>
    <t>produção em litros</t>
  </si>
  <si>
    <t>litros por ha</t>
  </si>
  <si>
    <t>PRODUÇÃO TOTAL LEITE por área total verão ( novembro a abril)</t>
  </si>
  <si>
    <t>PRODUÇÃO TOTAL LEITE por área total inverno ( maio a outubro)</t>
  </si>
  <si>
    <t>xxxxxxxxxxxxxxx</t>
  </si>
  <si>
    <t>outros indicadores</t>
  </si>
  <si>
    <t xml:space="preserve">produção por vaca </t>
  </si>
  <si>
    <t>litros de leite por kg de concentrado</t>
  </si>
  <si>
    <t>Kg concentrado por litro / ano</t>
  </si>
  <si>
    <t xml:space="preserve">       total da produção anual</t>
  </si>
  <si>
    <t>kg</t>
  </si>
  <si>
    <t xml:space="preserve">                                                                                                       SUB TOTAL</t>
  </si>
  <si>
    <t xml:space="preserve">              Produção consumida alimentação da familia</t>
  </si>
  <si>
    <t xml:space="preserve"> B) CUSTO OPERACIONAL EFETIVO (COE)</t>
  </si>
  <si>
    <t xml:space="preserve"> concentrado, sal mineral e grãos comprados</t>
  </si>
  <si>
    <t xml:space="preserve"> insumos e serviços para  formação de pastagens</t>
  </si>
  <si>
    <t xml:space="preserve"> D ) CUSTO OPERACIONAL TOTAL ( COE+ D )</t>
  </si>
  <si>
    <t>E) RESULTADOS</t>
  </si>
  <si>
    <t xml:space="preserve">                           SUB TOTAL</t>
  </si>
  <si>
    <t>coe</t>
  </si>
  <si>
    <t xml:space="preserve">      depreciação maquinas e const. utilizadas para produção de grãos, silagem e pastagens</t>
  </si>
  <si>
    <t>litros</t>
  </si>
  <si>
    <t>destino da produção de leite</t>
  </si>
  <si>
    <t xml:space="preserve">destino </t>
  </si>
  <si>
    <t>consumo familia</t>
  </si>
  <si>
    <t>agroindustria caseira</t>
  </si>
  <si>
    <t>A</t>
  </si>
  <si>
    <t>C</t>
  </si>
  <si>
    <t>D</t>
  </si>
  <si>
    <t>B</t>
  </si>
  <si>
    <t>TOTAL (A+B+D)</t>
  </si>
  <si>
    <t xml:space="preserve">  TOTAL</t>
  </si>
  <si>
    <t>conservação e reparos de maquinas</t>
  </si>
  <si>
    <t>conservação reparos de construções</t>
  </si>
  <si>
    <t xml:space="preserve"> Máquinas e Equipamentos Existentes (usar valor novo)</t>
  </si>
  <si>
    <t>maquina</t>
  </si>
  <si>
    <t>valor anual (R$)</t>
  </si>
  <si>
    <t xml:space="preserve">   total</t>
  </si>
  <si>
    <t>PLANILHA DE RATEIO DA DEPRECIAÇÃO E DA CONSERVAÇÃO E REPAROS</t>
  </si>
  <si>
    <t>DEPRECIAÇÃO</t>
  </si>
  <si>
    <t>CONSERVAÇÃO E REPAROS</t>
  </si>
  <si>
    <t>pastagens</t>
  </si>
  <si>
    <t>inverno e verão</t>
  </si>
  <si>
    <t>VALOR
 ANUAL ( R$)</t>
  </si>
  <si>
    <t xml:space="preserve">   Tipo de construção</t>
  </si>
  <si>
    <t>depreci</t>
  </si>
  <si>
    <t>VALOR depreciação</t>
  </si>
  <si>
    <t>Valor reparos e manuitenção</t>
  </si>
  <si>
    <t xml:space="preserve">            conservação e reparos de construções</t>
  </si>
  <si>
    <t xml:space="preserve">           outras despesas:  ITR, impostos,juros, funrural, arrendamentos, etc. </t>
  </si>
  <si>
    <t xml:space="preserve"> compras utilizadas na produção de grãos proprios  e silagens</t>
  </si>
  <si>
    <t>funrural</t>
  </si>
  <si>
    <t xml:space="preserve">                  SUB TOTAL RATEIO</t>
  </si>
  <si>
    <t xml:space="preserve">      mão obra serviços manejo da ativ. Leite </t>
  </si>
  <si>
    <t xml:space="preserve">       mão de obra</t>
  </si>
  <si>
    <t xml:space="preserve">       conservação reparos de maquinas</t>
  </si>
  <si>
    <t xml:space="preserve">       conservação reparos de instalações</t>
  </si>
  <si>
    <t xml:space="preserve">        concentrados comprados</t>
  </si>
  <si>
    <t xml:space="preserve">  mão de obra manejo suinos</t>
  </si>
  <si>
    <t>outras despesas para produção</t>
  </si>
  <si>
    <t xml:space="preserve">  mão de obra manejo aves</t>
  </si>
  <si>
    <t xml:space="preserve">  mão de obra manejo outros animais</t>
  </si>
  <si>
    <t xml:space="preserve">       depreciação de construções graos prorpios</t>
  </si>
  <si>
    <t xml:space="preserve">       depreciação maquinas e instalações dioratas na atividade</t>
  </si>
  <si>
    <t xml:space="preserve">       depreciação maquinas e equipamentos e instalações diretas na atividade</t>
  </si>
  <si>
    <t xml:space="preserve">       depreciação de construções graos prorpios </t>
  </si>
  <si>
    <t xml:space="preserve">       depreciação maquinas e equipamentos  grãos proprios</t>
  </si>
  <si>
    <t>conservação e reparos de maquinas diretamente utilizados na atividade leite</t>
  </si>
  <si>
    <t>conservação e reparos de intalações  diretamente utilizados na atividade leite</t>
  </si>
  <si>
    <t xml:space="preserve">        outras despesas para produção</t>
  </si>
  <si>
    <t xml:space="preserve">        outras despesas:  ITR, impostos,juros, funrural, arrendamentos, etc. </t>
  </si>
  <si>
    <t xml:space="preserve">        compras para industrialização</t>
  </si>
  <si>
    <t xml:space="preserve">  conservação reparos de maquinas</t>
  </si>
  <si>
    <t xml:space="preserve">  conservação reparos de instalações</t>
  </si>
  <si>
    <t xml:space="preserve">             outras despesas:  ITR, impostos,juros, funrural, arrendamentos, etc. </t>
  </si>
  <si>
    <t xml:space="preserve">      mão obra proporcional aos grãos, silagens e pastagens utilizadas</t>
  </si>
  <si>
    <t>partes</t>
  </si>
  <si>
    <t>gastos grãos e silagens</t>
  </si>
  <si>
    <t xml:space="preserve">            conservação reparos de maquinas </t>
  </si>
  <si>
    <t>preço equivalente
 leite (A+B+D)</t>
  </si>
  <si>
    <t xml:space="preserve"> D ) CUSTO OPERACIONAL TOTAL  COT ( COE+ D )</t>
  </si>
  <si>
    <t>COE / Ha</t>
  </si>
  <si>
    <t>COT /Ha</t>
  </si>
  <si>
    <t>PRODUÇÃO EM  KG</t>
  </si>
  <si>
    <t xml:space="preserve"> COE por kg</t>
  </si>
  <si>
    <t>COT POR kg</t>
  </si>
  <si>
    <t xml:space="preserve">       depreciação maquinas e instalações diretas na atividade</t>
  </si>
  <si>
    <t xml:space="preserve">  produção em KG vivo</t>
  </si>
  <si>
    <t>obs: a produção de ovos não está contabilizada no peso vivo das aves</t>
  </si>
  <si>
    <t>semente comprada</t>
  </si>
  <si>
    <t>xxxxxx</t>
  </si>
  <si>
    <t xml:space="preserve">       semente propria  </t>
  </si>
  <si>
    <t>SEMENTE PRORPIA</t>
  </si>
  <si>
    <t xml:space="preserve">         insumos e serviços para grãos proprios </t>
  </si>
  <si>
    <t>ATIVIDADE LEITE</t>
  </si>
  <si>
    <t>MARGEM LÍQUIDA</t>
  </si>
  <si>
    <t>RENDA NÃO AGRICOLA</t>
  </si>
  <si>
    <t>MARGEM LIQUIDA POR SAU (VERÃO) - R $ / Ha DE SAU</t>
  </si>
  <si>
    <t>MARGEM BRUTA POR  UNIDADE DE TRABALHO FAMILIAR AO MÊS ( 13 MESES)</t>
  </si>
  <si>
    <t>MARGEM  LÍQUIDA POR  UNIDADE DE TRABALHO FAMILIAR AO  MÊS ( 13 MESES)</t>
  </si>
  <si>
    <t>RENDA NÃO AGRICOLA POR UTF</t>
  </si>
  <si>
    <t>XXXXX</t>
  </si>
  <si>
    <t>XXX</t>
  </si>
  <si>
    <t>numero medio vacas lactação</t>
  </si>
  <si>
    <t>jan</t>
  </si>
  <si>
    <t>fev</t>
  </si>
  <si>
    <t>mar</t>
  </si>
  <si>
    <t>abr</t>
  </si>
  <si>
    <t>mai</t>
  </si>
  <si>
    <t>jun</t>
  </si>
  <si>
    <t>jul</t>
  </si>
  <si>
    <t>ago</t>
  </si>
  <si>
    <t>set</t>
  </si>
  <si>
    <t>out</t>
  </si>
  <si>
    <t>nov</t>
  </si>
  <si>
    <t>dez</t>
  </si>
  <si>
    <t>litros/dia</t>
  </si>
  <si>
    <t>litros mês</t>
  </si>
  <si>
    <t>vacas</t>
  </si>
  <si>
    <t>numero medio de vacas total no rebanho</t>
  </si>
  <si>
    <t>LITROS / VACA LACTAÇÃO/ DIA / ANO</t>
  </si>
  <si>
    <t>LITROS /VACA TOTAL / DIA / ANO</t>
  </si>
  <si>
    <t xml:space="preserve">Kg concentrado total </t>
  </si>
  <si>
    <t>Kg concentrado por vaca total / DIA /ANO</t>
  </si>
  <si>
    <t>kg silagem/ vaca lactação/dia /ano</t>
  </si>
  <si>
    <t>GRAOS PROPRIOS</t>
  </si>
  <si>
    <t>CONCENTRADO COMPRADO</t>
  </si>
  <si>
    <t>MEDICAMENTOS</t>
  </si>
  <si>
    <t>INSEMINAÇÃO</t>
  </si>
  <si>
    <t>MATERIAL LIMPEZA</t>
  </si>
  <si>
    <t>ENERGIA ELETRICA E AGUA</t>
  </si>
  <si>
    <t>CUSTO ALIMENTAÇÃO DA ATIVIDADE LEITE</t>
  </si>
  <si>
    <t>CUSTO LITRO LEITE (PRODUÇÃO LEITE)</t>
  </si>
  <si>
    <t>CUSTO LITRO LEITE (ATIVIDADE LEITE)</t>
  </si>
  <si>
    <t>COE</t>
  </si>
  <si>
    <t>COT</t>
  </si>
  <si>
    <t>UNIDADE</t>
  </si>
  <si>
    <t>R$ / Litro</t>
  </si>
  <si>
    <t>R$ / Kg</t>
  </si>
  <si>
    <t>peso da saca</t>
  </si>
  <si>
    <t>R$/saca</t>
  </si>
  <si>
    <t>CUSTO DOS GRÃOS</t>
  </si>
  <si>
    <t>CUSTO SILAGEM</t>
  </si>
  <si>
    <t>GRÃO PROPRIO</t>
  </si>
  <si>
    <t>COE /Kg (R$)</t>
  </si>
  <si>
    <t>COT / Kg (R$)</t>
  </si>
  <si>
    <t>COE (R$)</t>
  </si>
  <si>
    <t>CUSTO CONCENTRADO FORNECIDO AOS BOVINOS</t>
  </si>
  <si>
    <t>QUANTIDADE (Kg)</t>
  </si>
  <si>
    <t>SEMENTE PROPRIA</t>
  </si>
  <si>
    <t>inseminaçãoes por vaca total</t>
  </si>
  <si>
    <t>MARGEM BRUTA POR VACA</t>
  </si>
  <si>
    <t>MARGEM LÍQUIDA POR VACA</t>
  </si>
  <si>
    <t>Municipio</t>
  </si>
  <si>
    <t>Valor anual (R$)</t>
  </si>
  <si>
    <t>xxxxxxxxxxx</t>
  </si>
  <si>
    <t>xxxxxxxxxxxxx</t>
  </si>
  <si>
    <t xml:space="preserve">         Venda de GRÃOS </t>
  </si>
  <si>
    <t xml:space="preserve">  UTF</t>
  </si>
  <si>
    <t xml:space="preserve">              Venda   de produtos </t>
  </si>
  <si>
    <t>venda de leite</t>
  </si>
  <si>
    <t xml:space="preserve">            mão obra contratada</t>
  </si>
  <si>
    <t xml:space="preserve"> A   ) RENDA BRUTA DA ATIVIDADE LEITE (RBL) :  COMERCIALIZADA CONSUMO ALIMENTAÇÃO FAMILIA.</t>
  </si>
  <si>
    <t xml:space="preserve"> B) CUSTO OPERACIONAL EFETIVO (COEL)</t>
  </si>
  <si>
    <t xml:space="preserve"> C) DEPRECIAÇÃO  (DL)</t>
  </si>
  <si>
    <t xml:space="preserve">   MARGEM BRUTA ATIVIDADE LEITE (MBL) = (RBL - COEL)</t>
  </si>
  <si>
    <t>MARGEM LIQUIDA ATIVIDADE LEITE (MLL) = MBL -DL)</t>
  </si>
  <si>
    <t xml:space="preserve">                                                                   </t>
  </si>
  <si>
    <t>RESUMO RESULTADO GERAL</t>
  </si>
  <si>
    <t>MARGEM LIQUIDA AO MÊS (13 MESES)</t>
  </si>
  <si>
    <t xml:space="preserve"> </t>
  </si>
  <si>
    <t xml:space="preserve">PASTAGENS </t>
  </si>
  <si>
    <t xml:space="preserve"> D ) CUSTO OPERACIONAL TOTAL  - ( COTL)= (COEL+ DL )</t>
  </si>
  <si>
    <t>B) DEPRECIAÇÃO LEITE  (DL)</t>
  </si>
  <si>
    <t xml:space="preserve"> C ) CUSTO OPERACIONAL  TOTAL DO LEITE (COTL)</t>
  </si>
  <si>
    <t>total somente graão</t>
  </si>
  <si>
    <t>CONSERVAÇÃIO REPAROS MAQUINAS E INSTALAÇÕES DO MANEJO)</t>
  </si>
  <si>
    <t>MÃO OBRA CONTRATADA PARA MANEJO</t>
  </si>
  <si>
    <t xml:space="preserve">ALIMENTAÇÃO </t>
  </si>
  <si>
    <t>quantidade total</t>
  </si>
  <si>
    <t xml:space="preserve">CUSTO OPERACIONAL EFETIVO DO LEITE ( COEL) /vaca  </t>
  </si>
  <si>
    <t>Total</t>
  </si>
  <si>
    <t>CUSTO OPERACIONAL EFETIVO DO LEITE (COEL)</t>
  </si>
  <si>
    <t>xxxxxxxxxxxxxxxxx</t>
  </si>
  <si>
    <t>xxxxxxxxxxxxxxxx</t>
  </si>
  <si>
    <t>MARGEM BRUTA POR SAU  VERÃO  R $ / Ha DE SAU</t>
  </si>
  <si>
    <t>RENDA AGRÍCOLA E AGROIND.</t>
  </si>
  <si>
    <t xml:space="preserve">DEPRECIAÇÃO MAQ.EQUIP. CONSTR. ULILIZADAS NO MANEJO E ORDENHA </t>
  </si>
  <si>
    <t>SÍNTESE DO  CUSTO PRODUÇÃO DA ATIVIDADE LEITE</t>
  </si>
  <si>
    <t>RENDA BRUTA DA PRODUÇÃO</t>
  </si>
  <si>
    <t xml:space="preserve"> RENDA BRUTA (RB)
 </t>
  </si>
  <si>
    <t xml:space="preserve"> CUSTO OPERACIONAL EFETIVO (COE)
 </t>
  </si>
  <si>
    <t xml:space="preserve"> D ) CUSTO OPERACIONAL TOTAL (COT = COE + D )</t>
  </si>
  <si>
    <t>DEPRECIAÇÃO (D)</t>
  </si>
  <si>
    <t>MARGEM BRUTA TOTAL (MB= RB - COE)</t>
  </si>
  <si>
    <t>MARGEM LÍQUIDA  ( ML = MB-D)</t>
  </si>
  <si>
    <t>MARGEM LÍQUIDA + RENDA NÃO AGRÍCOLA</t>
  </si>
  <si>
    <t>MARGEM BRUTA POR  UNIDADE DE TRABALHO FAMILIAR AO ANO (somente membros da família)</t>
  </si>
  <si>
    <t>MARGEM  LÍQUIDA POR  UNIDADE DE TRABALHO FAMILIAR AO ANO (somente membros da família)</t>
  </si>
  <si>
    <t>MARGEM LÍQUIDA + RENDA NÃO AGRÍCOLA  POR UTF</t>
  </si>
  <si>
    <t>Unidade de Observação
(UO)</t>
  </si>
  <si>
    <t xml:space="preserve">Area total
da UO
 </t>
  </si>
  <si>
    <t>Superficie 
agrícola útil (SAU)</t>
  </si>
  <si>
    <t>Unidade de 
Trabalho Familiar (UTF)</t>
  </si>
  <si>
    <t>área utilizada 
para atividade leiteira
no verão</t>
  </si>
  <si>
    <t xml:space="preserve">àrea utilizada para atividade leiteira no inverno
</t>
  </si>
  <si>
    <t>Area com
 pasto perene utilizada na atividade leiteira</t>
  </si>
  <si>
    <t>Animais totais da atividade leiteira</t>
  </si>
  <si>
    <t>vacas leiteiras totais</t>
  </si>
  <si>
    <t>produção de leite verão (novembro a abril)</t>
  </si>
  <si>
    <t>produção de leite inverno (maio a outubro)</t>
  </si>
  <si>
    <t>Produção total anual</t>
  </si>
  <si>
    <t>Produção vaca total / ano</t>
  </si>
  <si>
    <t xml:space="preserve">Produção media vaca total dia </t>
  </si>
  <si>
    <t>produção/ha media inv verão</t>
  </si>
  <si>
    <t>litro vaca ano
por kg  concentrado</t>
  </si>
  <si>
    <t>(ha)</t>
  </si>
  <si>
    <t xml:space="preserve">  (ha)</t>
  </si>
  <si>
    <t xml:space="preserve"> (unid.)</t>
  </si>
  <si>
    <t>cab.</t>
  </si>
  <si>
    <t>(litros)</t>
  </si>
  <si>
    <t>litrosd /ha</t>
  </si>
  <si>
    <t>R$ /mês</t>
  </si>
  <si>
    <t>L /kg</t>
  </si>
  <si>
    <t>L /Kg</t>
  </si>
  <si>
    <t>(nome)</t>
  </si>
  <si>
    <t>Unidade de Observação</t>
  </si>
  <si>
    <t>(codigo)</t>
  </si>
  <si>
    <t>Valor Bruto da Produção total</t>
  </si>
  <si>
    <t>R$ /litro "Produzido"</t>
  </si>
  <si>
    <t>VENDA E CONSUMO DE LEITE (IN NATURA E INDUSTRIALIZADO)</t>
  </si>
  <si>
    <t>CÁLCULO DA PROPORÇÃO DA RENDA BRUTA ATIVIDADE LEITE</t>
  </si>
  <si>
    <t>VENDA DE ANIMAIS</t>
  </si>
  <si>
    <t>Atividade leite</t>
  </si>
  <si>
    <t>Produção de leite</t>
  </si>
  <si>
    <t>Detalhamento do custo da</t>
  </si>
  <si>
    <t>PRODUÇÃO TOTAL LEITE VERÃO  ( novembro a abril)</t>
  </si>
  <si>
    <t>PRODUÇÃO TOTAL LEITE INVERNO ( maio a outubro)</t>
  </si>
  <si>
    <t>xxxxxxxxxx</t>
  </si>
  <si>
    <t>Média (ha)</t>
  </si>
  <si>
    <t>Gastos com alimentação</t>
  </si>
  <si>
    <t>Gastos alimentação / vaca total</t>
  </si>
  <si>
    <t>Depreciação por vaca</t>
  </si>
  <si>
    <t>COTL por vaca</t>
  </si>
  <si>
    <t>depreciação com alimentação/vaca total</t>
  </si>
  <si>
    <t>COT alimentação /vaca</t>
  </si>
  <si>
    <t>Gastos com concentrados/vaca total</t>
  </si>
  <si>
    <t>Depreciação com concentrados/vaca total</t>
  </si>
  <si>
    <t>COT concentrado/vaca total</t>
  </si>
  <si>
    <t>COT com alimentação/ vaca total</t>
  </si>
  <si>
    <t>A) CUSTO OERACIONAL EFETIVO LEITE (COEL)</t>
  </si>
  <si>
    <t>COEL por litro</t>
  </si>
  <si>
    <t>COEL por vaca total</t>
  </si>
  <si>
    <t>COTL por litro</t>
  </si>
  <si>
    <t>Depreciação leite /litro</t>
  </si>
  <si>
    <t>COT concentrado/COT alimentação</t>
  </si>
  <si>
    <t>Silagem vaca total/ano</t>
  </si>
  <si>
    <t>COT silagem vaca /ano</t>
  </si>
  <si>
    <t>COT silagem/litro</t>
  </si>
  <si>
    <t>COT concentrado/litro</t>
  </si>
  <si>
    <t>Estimativa de MS lote das vacas lactação (base 3% do Peso Vivo)------Kg de MS</t>
  </si>
  <si>
    <t>Estimativa de MS lote das vacas secas (base 2% do Peso Vivo)------Kg de MS</t>
  </si>
  <si>
    <t>ao ano</t>
  </si>
  <si>
    <t>ao dia</t>
  </si>
  <si>
    <t>Necessidade de MS  ( kg )</t>
  </si>
  <si>
    <t>(* ) não se trata do efetivamente consumido, mas é o total de concentrado consumido por todo rebanho divido pelas vacas em lactação)</t>
  </si>
  <si>
    <t xml:space="preserve">   Total</t>
  </si>
  <si>
    <t xml:space="preserve">jan </t>
  </si>
  <si>
    <t>MS/ciclo/ha</t>
  </si>
  <si>
    <t>MS total</t>
  </si>
  <si>
    <t>pastagem
 verão</t>
  </si>
  <si>
    <t>pastagem
 inverno</t>
  </si>
  <si>
    <t>OFERTA PASTAGEM</t>
  </si>
  <si>
    <t>NECESSIDADE SIMPLES</t>
  </si>
  <si>
    <t>ÁREA (ha)</t>
  </si>
  <si>
    <t>PRODUÇÃO DE PASTO (Kg de MS dia por hectare por dia ) - base daos de pesquisa</t>
  </si>
  <si>
    <t>TOTAL PASTO PRODUZIDO (KG DE MS)</t>
  </si>
  <si>
    <t>Totais produção</t>
  </si>
  <si>
    <t>TOTAL COMDUMIDO ( EFICIENCIA DE UTILIZAÇÃO DE 70% )</t>
  </si>
  <si>
    <t xml:space="preserve">Pastagem anual </t>
  </si>
  <si>
    <t>alimentação</t>
  </si>
  <si>
    <t>pessoas</t>
  </si>
  <si>
    <t>idade média do casal</t>
  </si>
  <si>
    <t>anos</t>
  </si>
  <si>
    <t>esposo (a)</t>
  </si>
  <si>
    <t>esposa (o)</t>
  </si>
  <si>
    <t>filhos</t>
  </si>
  <si>
    <t>avô</t>
  </si>
  <si>
    <t>avó</t>
  </si>
  <si>
    <t xml:space="preserve">  Atividade</t>
  </si>
  <si>
    <t>Coposição da Margem 
Líquida Ativ leite</t>
  </si>
  <si>
    <t>MARGEM LÍQUIDA ativ. Leite (MLL)</t>
  </si>
  <si>
    <t>CUSTO OPERACIONAL EFETIVO LEITE (COEL)</t>
  </si>
  <si>
    <t>venda e consumo de leite in natura e seus processados</t>
  </si>
  <si>
    <t>venda e consumo
 de animais e seus processados</t>
  </si>
  <si>
    <t>MÃO OBRA CONTRATADA
 PARA MANEJO</t>
  </si>
  <si>
    <t>CONSERVAÇÃIO REPAROS MAQUINAS
 E INSTALAÇÕES DO MANEJO)</t>
  </si>
  <si>
    <t>OUTRAS DESPESAS 
DIRETAS PARA MANEJO</t>
  </si>
  <si>
    <t xml:space="preserve">DEPRECIAÇÃO MAQ.EQUIP. CONSTR.
 ULILIZADAS NO MANEJO E ORDENHA </t>
  </si>
  <si>
    <t>COMPOSIÇÃO DO CUSTO OPERACIONAL EFETIVO
 DA ATIVIDADE LEITEIRA (COEL)</t>
  </si>
  <si>
    <t>demais custos</t>
  </si>
  <si>
    <t>PREÇO EQUIVALENTE DO LEITE PRODUZIDO</t>
  </si>
  <si>
    <t>MARGEM LÍQUIDA POR HECTARE ( Média da área inverno + verão)</t>
  </si>
  <si>
    <t>Calculo da necessidade de materia seca para o rebanho</t>
  </si>
  <si>
    <t xml:space="preserve">INDICADORES QUANTITATIVOS DE ALIMENTAÇÃO </t>
  </si>
  <si>
    <t>MS concentrado</t>
  </si>
  <si>
    <t>MS silagem</t>
  </si>
  <si>
    <t>MS + silagem</t>
  </si>
  <si>
    <t>MARGEM  LÍQUIDA POR HECTARE</t>
  </si>
  <si>
    <t>CUSTO OPERACIONAL TOTAL (  COT ) por Kg</t>
  </si>
  <si>
    <t>CUSTO OPERACIONAL TOTAL POR HECTARE</t>
  </si>
  <si>
    <t xml:space="preserve">MARGEM  LÍQUIDA  </t>
  </si>
  <si>
    <t>MARGEM LÍQUIDA POR PESSOA
 DA FAMÍLA   &gt; 16 ANOS / MÊS (13 meses)</t>
  </si>
  <si>
    <t>CUSTO OPERACIONAL TOTAL  POR  KG</t>
  </si>
  <si>
    <t>XXXXXXXXX</t>
  </si>
  <si>
    <t>INDICADOR</t>
  </si>
  <si>
    <t>ATIVIDADE / INDICADOR</t>
  </si>
  <si>
    <t xml:space="preserve">CUSTO OPERACIONAL TOTAL </t>
  </si>
  <si>
    <t>POR KG</t>
  </si>
  <si>
    <t>POR SACA</t>
  </si>
  <si>
    <t>PESO 
DA SACA</t>
  </si>
  <si>
    <t>CONCENTRADO TOTAL</t>
  </si>
  <si>
    <t>RESULTADO ATIVIDADE LEITE - DETALHAMENTO</t>
  </si>
  <si>
    <t>atualizações realizaddas</t>
  </si>
  <si>
    <t xml:space="preserve">CALCULO DA ÁREAS de pastagem utilizada com LEITE </t>
  </si>
  <si>
    <t>sobressemeadura</t>
  </si>
  <si>
    <t>ÁREA UTILIZADA NA ATIVIDADE LEITEIRA</t>
  </si>
  <si>
    <t>PRODUÇÃO POR ÁREA UTILIZADA</t>
  </si>
  <si>
    <t>INDICADORES ECONÔMICOS ATIVIDADE LEITE</t>
  </si>
  <si>
    <t xml:space="preserve">  Cálculo do consumo em relação a necessidade</t>
  </si>
  <si>
    <t>Renda não agricola R$/ ano</t>
  </si>
  <si>
    <t>MARGEM LÍQUIDA POR HECTARE</t>
  </si>
  <si>
    <t>calculo proporcionalidade leite TERNEIRAS</t>
  </si>
  <si>
    <t>gastos grãos proporcional a semente propria</t>
  </si>
  <si>
    <t xml:space="preserve">             Insumos e serviços </t>
  </si>
  <si>
    <t xml:space="preserve">outros gastos  para produção leite </t>
  </si>
  <si>
    <t>tipo de grãos</t>
  </si>
  <si>
    <t>estoque de grãos para ser utilizado (KG)</t>
  </si>
  <si>
    <t>quantidade utilizada
 ( Kg)</t>
  </si>
  <si>
    <t>saldo para demais atividades</t>
  </si>
  <si>
    <t>diferença</t>
  </si>
  <si>
    <t>semente própria</t>
  </si>
  <si>
    <t>demais sementes próp.</t>
  </si>
  <si>
    <t>kg semente propria</t>
  </si>
  <si>
    <t>O ESTOQUE DE SEMENTE PROPRIA NÃO FECHOU COM A QUANTIDADE UTILIZADA NOS CULTIVOS</t>
  </si>
  <si>
    <t>os valores ao lado devem ser iguais</t>
  </si>
  <si>
    <t>Valor da produção vendida e consumida como alimento</t>
  </si>
  <si>
    <t>OBSERVAÇÕES</t>
  </si>
  <si>
    <t>MARGEM LÍQUIDA TOTAL</t>
  </si>
  <si>
    <t>observações</t>
  </si>
  <si>
    <t>Margem líquida por pessoa da família acima de 18 anos, a.a</t>
  </si>
  <si>
    <t>PRENCHIMENTO PLANILHA DE CULTIVOS</t>
  </si>
  <si>
    <t xml:space="preserve">OUTRAS DESPESAS </t>
  </si>
  <si>
    <r>
      <t xml:space="preserve">litros de leite por kg de concentrado </t>
    </r>
    <r>
      <rPr>
        <sz val="12"/>
        <color indexed="10"/>
        <rFont val="Arial"/>
        <family val="2"/>
      </rPr>
      <t>(ACIMA DE 10 LITROS VACA LAC / DIA /ANO)</t>
    </r>
  </si>
  <si>
    <t>kg silagem / terneiras e novilhas/ano</t>
  </si>
  <si>
    <t>Estimativa de MS lote demais animais  (base 2% do Peso Vivo)------Kg de MS</t>
  </si>
  <si>
    <t>àrea média leite(inverno e verão)</t>
  </si>
  <si>
    <t>LITROS/VACA/ANO</t>
  </si>
  <si>
    <t>Animais por hectare média</t>
  </si>
  <si>
    <t>cab</t>
  </si>
  <si>
    <t>Unidade animal /ha média</t>
  </si>
  <si>
    <t>UA (450)</t>
  </si>
  <si>
    <t>Unidade animal /ha pastagem verão</t>
  </si>
  <si>
    <t>Unidade animal /ha pastagem inverno</t>
  </si>
  <si>
    <t>Unidade animal /ha pastagem média</t>
  </si>
  <si>
    <t>UA</t>
  </si>
  <si>
    <t>ha</t>
  </si>
  <si>
    <t>Area média de pastagens</t>
  </si>
  <si>
    <t>Margem Bruta Total UO/ SAU</t>
  </si>
  <si>
    <t>Depreciação Total /SAU</t>
  </si>
  <si>
    <t>Margem Líquida total UO / SAU</t>
  </si>
  <si>
    <t>Margem Bruta Leite / ha total média</t>
  </si>
  <si>
    <t>Depreciação leite / ha media</t>
  </si>
  <si>
    <t>Margem Líquida Leite/ ha media</t>
  </si>
  <si>
    <t>Margem líquida / vaca total</t>
  </si>
  <si>
    <t>Margem Liquida / litro produzido</t>
  </si>
  <si>
    <t>margem liquida leite por mês (13 meses)</t>
  </si>
  <si>
    <t>Margem líquida leite/UTF/mês (13 messes)</t>
  </si>
  <si>
    <t>Margem líquida leite/pessoa adulta /mês (13 meses)</t>
  </si>
  <si>
    <t>13 fev 2013- CORRIGIDO A QUESTÃO DA área perene (custo oportunidade) e questão da semente própria</t>
  </si>
  <si>
    <r>
      <t>versão dia 13 fev 2013</t>
    </r>
    <r>
      <rPr>
        <sz val="10"/>
        <rFont val="Arial"/>
        <family val="2"/>
      </rPr>
      <t xml:space="preserve">: corrigido a plan  TOTAL onde COEL por vaca não estava puxando as despesas da planilha GASTOS COM ATIVIDADE LEITEIRA h32. Corrigido incluindo na planilha oculta RESULTADOS CUSTO PRODUÇÃO DE LEITE C65, inclusive alterando o descritivo desta linha, passando a se chamar outras despesas.(antes era outras despesas diretas para manejo)
 </t>
    </r>
  </si>
  <si>
    <t xml:space="preserve">Ajustes na totalização e mudanças nos resultados </t>
  </si>
  <si>
    <t>Superfície útil</t>
  </si>
  <si>
    <t>ÁREA TOTAL</t>
  </si>
  <si>
    <t>calculadora</t>
  </si>
  <si>
    <t xml:space="preserve"> MOVIMENTO DE OUTROS ANIMAIS   DO SUBSISTEMA LEITE  (VENDA, CONSUMO, AGROINDUSTRILIZAÇÃO CASEIRA. )</t>
  </si>
  <si>
    <t>conservação e reparos maq.const.</t>
  </si>
  <si>
    <t>medicam. Inseminaçãp</t>
  </si>
  <si>
    <t>mão obra contratada</t>
  </si>
  <si>
    <t>QUANTIDADE DE M.S  DE CONCENTRADO NA ALIMENTAÇÃO</t>
  </si>
  <si>
    <t>QUANTIDADE DE M.S SILAGEM NA ALIMENTAÇÃO(kg</t>
  </si>
  <si>
    <t xml:space="preserve"> TOTAL MS silagem + concentrado(kg)</t>
  </si>
  <si>
    <t xml:space="preserve"> "     concentrado + silagem</t>
  </si>
  <si>
    <r>
      <t xml:space="preserve">Percentagem de M.S de </t>
    </r>
    <r>
      <rPr>
        <b/>
        <sz val="12"/>
        <rFont val="Arial"/>
        <family val="2"/>
      </rPr>
      <t>concentrado</t>
    </r>
    <r>
      <rPr>
        <sz val="12"/>
        <rFont val="Arial"/>
        <family val="2"/>
      </rPr>
      <t xml:space="preserve"> em relação a necesidade</t>
    </r>
  </si>
  <si>
    <r>
      <t xml:space="preserve">Percentagem de M.S de </t>
    </r>
    <r>
      <rPr>
        <b/>
        <sz val="12"/>
        <rFont val="Arial"/>
        <family val="2"/>
      </rPr>
      <t xml:space="preserve">silagem </t>
    </r>
    <r>
      <rPr>
        <sz val="12"/>
        <rFont val="Arial"/>
        <family val="2"/>
      </rPr>
      <t>em relação a necesidade</t>
    </r>
  </si>
  <si>
    <r>
      <t>AUDITORIAS:</t>
    </r>
    <r>
      <rPr>
        <b/>
        <sz val="12"/>
        <color indexed="12"/>
        <rFont val="Arial"/>
        <family val="2"/>
      </rPr>
      <t xml:space="preserve"> esta planilha confere algumas informações lançadas : En todos os itens da coluna "auditoria" de estar a palavra "certo"</t>
    </r>
  </si>
  <si>
    <t>FALHAS DE PRENCHIMENTO</t>
  </si>
  <si>
    <t>ATENÇÃO !!!!!</t>
  </si>
  <si>
    <t>xxxxx</t>
  </si>
  <si>
    <t>Pessoas da família (mais 18 anos)</t>
  </si>
  <si>
    <t>Unidade animal 450</t>
  </si>
  <si>
    <t>MARGEM LIQUIDA UO / PESSOA ACIMA 18 anos/ao mês(13 MESES)</t>
  </si>
  <si>
    <t>percentual da depreciação sobre o custo total</t>
  </si>
  <si>
    <t xml:space="preserve">COT concentrado /COT </t>
  </si>
  <si>
    <t>COT silagem +concentrado/custo total</t>
  </si>
  <si>
    <t>Microregião emater</t>
  </si>
  <si>
    <t>total vacas com relação ao rebanho</t>
  </si>
  <si>
    <t>%cab/cab</t>
  </si>
  <si>
    <t>UA(450)</t>
  </si>
  <si>
    <t>Percentagemprodução inverno sobre o total</t>
  </si>
  <si>
    <r>
      <t xml:space="preserve">versão dia 13 fev 20131 </t>
    </r>
    <r>
      <rPr>
        <sz val="10"/>
        <color indexed="10"/>
        <rFont val="Arial"/>
        <family val="2"/>
      </rPr>
      <t>......em 21 de maio 2013 : Correção na falha do problema da semente própia que dava erro na auditoria</t>
    </r>
  </si>
  <si>
    <t>dia  2 de julho corrigido falha na planilha "resumo  gastos cultivo" tinha palavra leitebom no lugar do numero no calculo semente propria.</t>
  </si>
  <si>
    <t>cavalo</t>
  </si>
  <si>
    <t>preço leite</t>
  </si>
  <si>
    <t xml:space="preserve">Litros acima de 10 litros, por kg de 
concentrados </t>
  </si>
  <si>
    <t>resultado simulação: margem Liquida leite por hectare média</t>
  </si>
  <si>
    <t>simulação : queda da margem líquida</t>
  </si>
  <si>
    <t>preço da PSP</t>
  </si>
  <si>
    <t xml:space="preserve">preço simulado </t>
  </si>
  <si>
    <t>preço simulado</t>
  </si>
  <si>
    <t>Preços</t>
  </si>
  <si>
    <t>correção em 13 abril 2014: a auditoria de gastros cultivos da linha 90 o repactivo de auditotria de veria se 108 e não 110</t>
  </si>
  <si>
    <t>Uréia</t>
  </si>
  <si>
    <t>COMPOSIÇÃO DA MARGEM BRUTA E LÍQUIDA
De onde Vêm estas margens"</t>
  </si>
  <si>
    <t>Margem bruta</t>
  </si>
  <si>
    <t>Margem Líquida</t>
  </si>
  <si>
    <t>Reais / mês (13 meses)</t>
  </si>
  <si>
    <t>R$/ ano</t>
  </si>
  <si>
    <t>GLOBAL</t>
  </si>
  <si>
    <t>Reais / ha (SAU)</t>
  </si>
  <si>
    <t>CUSTO OPERACIONAL  (CO)</t>
  </si>
  <si>
    <t>DEPRECIAÇÃO LEITE (DF)</t>
  </si>
  <si>
    <t>DEPRECIAÇÃO E C. FIXOS LEITE (DL)</t>
  </si>
  <si>
    <t xml:space="preserve">CUSTO OPERACIONAL </t>
  </si>
  <si>
    <t>DEPRECIAÇÃO E OUTROS CUSTOS FIXOS (DF)</t>
  </si>
  <si>
    <t>CUSTO OPERACIONAL (CO)</t>
  </si>
  <si>
    <t>MARGEM LÍQUIDA ativ. Leite (ML)</t>
  </si>
  <si>
    <t xml:space="preserve"> B) CUSTO OPERACIONAL  (CO) </t>
  </si>
  <si>
    <t xml:space="preserve"> C) DEPRECIAÇÃO E OUTROS CUSTOS FIXOS  (DF)</t>
  </si>
  <si>
    <t xml:space="preserve"> D ) CUSTO OPERACIONAL TOTAL - COT  ( CO+ DF )</t>
  </si>
  <si>
    <t>MARGEM LIQUIDA  (RB-CO-DF)</t>
  </si>
  <si>
    <t xml:space="preserve">   MARGEM BRUTA TOTAL(RB - CO)</t>
  </si>
  <si>
    <t xml:space="preserve"> A) RENDA BRUTA (RB)  </t>
  </si>
  <si>
    <t xml:space="preserve"> A   ) RENDA BRUTA  (RB)  </t>
  </si>
  <si>
    <t xml:space="preserve"> B) CUSTO OPERACIONAL  (CO)</t>
  </si>
  <si>
    <t xml:space="preserve">   MARGEM BRUTA  (MB) = (RB - CO)</t>
  </si>
  <si>
    <t>MARGEM LIQUIDA  (ML) = MBL -DF)</t>
  </si>
  <si>
    <t xml:space="preserve"> D ) CUSTO OPERACIONAL TOTAL  - ( COT)= (CO+ DF )</t>
  </si>
  <si>
    <t>MARGEM LÍQUIDA POR VACA / ANO  --- (ML)</t>
  </si>
  <si>
    <t>MARGEM BRUTA POR VACA / ANO  --- (MB / VACA TOTAL)</t>
  </si>
  <si>
    <t>CUSTO OPERACIONAL TOTAL POR VACA /ANO -- (COT  / VACA TOTAL)</t>
  </si>
  <si>
    <t>CUSTO OPERACIONAL POR VACA ( CO / VACA TOTAL)</t>
  </si>
  <si>
    <t>CUSTO OPERACIONAL TOTAL EM RELAÇÃO AO LITRO PRODUZIDO-- (COT / LITRO)</t>
  </si>
  <si>
    <t>CUSTO OPERACIONAL  EM RELAÇÃO AO LITRO PRODUZIDO-- (CO / litro)</t>
  </si>
  <si>
    <t>MARGEM LIQUIDA EM RELAÇÃO AO  LITRO DE LEITE PRODUZIDO ( MB / LITRO)</t>
  </si>
  <si>
    <t>MARGEM BRUTA EM RELAÇÃO AO  LITRO DE LEITE PRODUZIDO ( MB / LITRO)</t>
  </si>
  <si>
    <t>PREÇO MÉDIO DE VENDA DO LEITE</t>
  </si>
  <si>
    <t>MARGEM BRUTA POR HECTARE ( Média da área inverno + verão)</t>
  </si>
  <si>
    <t>MARGEM LIQUIDA MENSAL ( base 13 meses)</t>
  </si>
  <si>
    <t>MARGEM BRUTA MENSAL ( base 13 meses)</t>
  </si>
  <si>
    <t>CUSTO OPERACIONAL TOTAL DA SILAGEM ( R$ / kg )</t>
  </si>
  <si>
    <t>CUSTO OPERACIONAL DA SILAGEM (R$ /Kg)</t>
  </si>
  <si>
    <t>INDICADORES</t>
  </si>
  <si>
    <t>CUSTO CONCENTRADO COMPRADO  ( R$ / KG)</t>
  </si>
  <si>
    <t>CUSTO OPERACIONAL TOTAL CONCENTRADO CASEIRO</t>
  </si>
  <si>
    <t>CUSTO OPERACIONAL  CONCENTRADO CASEIRO</t>
  </si>
  <si>
    <t>media das áreas</t>
  </si>
  <si>
    <t>CUSTO OPERACIONAL TOTAL PASTAGENS  ( R$ / HA média - inverno + verão/ 2)</t>
  </si>
  <si>
    <t>CUSTO OPERACIONAL  PASTAGENS  ( R$ / HA média - inverno + verão/ 2)</t>
  </si>
  <si>
    <t>ELABORAÇÃO DE GRÁFICOS  ATIVIDADE LEITE</t>
  </si>
  <si>
    <t>RENDA BRUTA (RB)</t>
  </si>
  <si>
    <t>DEPRECIAÇÃO E CUSTO FIXOS (CF)</t>
  </si>
  <si>
    <t>MARGEM BRUTA</t>
  </si>
  <si>
    <t>kg silagem/ vaca total  /dia</t>
  </si>
  <si>
    <t>inseminações por vaca total</t>
  </si>
  <si>
    <t>Percentagem de concentrado na dieta total *</t>
  </si>
  <si>
    <t>percentagem de silagens na dieta total  *</t>
  </si>
  <si>
    <t>percentagem de Concentrado+ silagem na dieta total *</t>
  </si>
  <si>
    <t>verifique os percentuais de rateio nas planilhas maquinas e equipamentos e instalação e investimentos: fechou os percentuais em 100% ? Não pode haver percentuiais de rateio onde não há atividade !!!</t>
  </si>
  <si>
    <t>FAÇA AS MESMAS VERIFICAÇÕES FEITAS NO CUSTO OPERACIONAL E DEPRECIAÇÃO.</t>
  </si>
  <si>
    <t>verifique os percentuais de rateio nas planilhas MÃO DE OBRA  E OUTRAS DESPESAS: fechou os percentuais em 100% ? Não pode haver percentuiais de rateio onde não há atividade !!!</t>
  </si>
  <si>
    <t>FALTA INSERIR GASTOS DO CULTIVO OU O CULTIVO E ÁREA NÃO EXISTEM</t>
  </si>
  <si>
    <t>planilha mão de obra</t>
  </si>
  <si>
    <t>ERRO -falta rateio da mão de obra ou rateio inadequado na linha 38  ou há despesas sem rateio</t>
  </si>
  <si>
    <t>Valor dos gastos com cultivos, ultrapassam R$ 1.500,00 por hectare. Apenas confira se é isso mesmo ?</t>
  </si>
  <si>
    <t>A PLANILHA APRESENTA</t>
  </si>
  <si>
    <t>FALHAS NO PRENCHIMENTO</t>
  </si>
  <si>
    <t xml:space="preserve">ITEM </t>
  </si>
  <si>
    <t>OBSERVAÇÕES SOBRE O ERRO</t>
  </si>
  <si>
    <t>Superfície agricola util de inverno é maior que a de verão. É isso mesmo ? Se sim não considere como falha.</t>
  </si>
  <si>
    <t>soma area perene</t>
  </si>
  <si>
    <t>A área de sobressemeadura não pode ser maior que a propria área perene</t>
  </si>
  <si>
    <t>Verifique se o rateio da mão de obra esta adequado com as atividades(cultivos e criações).Verifique se não há percentual de rateio onde não há atividade. Verifique se o percentual está fechando em 100 %</t>
  </si>
  <si>
    <t>Revise os dados de produção, se o vendido fecha com os estoques.</t>
  </si>
  <si>
    <t>"ABA" ONDE A FALHA PODERÁ ESTAR LOCALIZADA</t>
  </si>
  <si>
    <t xml:space="preserve">o estoque de grãos próprios deve fechar com a quantidade de grãos utilizada para consumo de animais. </t>
  </si>
  <si>
    <t xml:space="preserve">Aba "gastos com atividade leite" ( coluna E5 a E9 )e " gastos com outros animais" (coluna D6 a D10). </t>
  </si>
  <si>
    <t>idem anterior</t>
  </si>
  <si>
    <t>abas: "maq equip", "instalações  invest"</t>
  </si>
  <si>
    <t>aba: produção</t>
  </si>
  <si>
    <t xml:space="preserve">instalações </t>
  </si>
  <si>
    <t>Unidade</t>
  </si>
  <si>
    <t>valor novo(R$)</t>
  </si>
  <si>
    <t>Vida Util(anos)</t>
  </si>
  <si>
    <t>GASTOS COM CONSERVAÇÃO E REPAROS DOS INVESTIMENTOS DE LONGO PRAZO.</t>
  </si>
  <si>
    <t>planilha de rateio da depreciação e conservação e reparos de maquinas e equipamentos</t>
  </si>
  <si>
    <t>tipo</t>
  </si>
  <si>
    <t>planilha de rateio da depreciação e conservação e reparos de investimentos de longo prazo - outros custos fixos</t>
  </si>
  <si>
    <t>investimentos de longo prazo - "OUTROS CUSTOS FIXOS"</t>
  </si>
  <si>
    <t>fertilizantes NPK</t>
  </si>
  <si>
    <t>fertilizante Organico</t>
  </si>
  <si>
    <t>tranamento sementes</t>
  </si>
  <si>
    <t>herbicida pré plantio</t>
  </si>
  <si>
    <t>herbicida pós</t>
  </si>
  <si>
    <t>inseticidas</t>
  </si>
  <si>
    <t>fungicidas</t>
  </si>
  <si>
    <t>fretes</t>
  </si>
  <si>
    <t>quantidade / ha</t>
  </si>
  <si>
    <t>Preço da unidade de insumo</t>
  </si>
  <si>
    <t>unidade do insumo ou serviço</t>
  </si>
  <si>
    <t>serviço contratado</t>
  </si>
  <si>
    <r>
      <t xml:space="preserve">Serviços ensiladeira </t>
    </r>
    <r>
      <rPr>
        <b/>
        <sz val="10"/>
        <color indexed="10"/>
        <rFont val="Arial"/>
        <family val="2"/>
      </rPr>
      <t>contratada</t>
    </r>
  </si>
  <si>
    <r>
      <t xml:space="preserve">serviços trator </t>
    </r>
    <r>
      <rPr>
        <b/>
        <sz val="10"/>
        <color indexed="10"/>
        <rFont val="Arial"/>
        <family val="2"/>
      </rPr>
      <t>contratado</t>
    </r>
  </si>
  <si>
    <r>
      <t xml:space="preserve">fretes </t>
    </r>
    <r>
      <rPr>
        <b/>
        <sz val="10"/>
        <color indexed="10"/>
        <rFont val="Arial"/>
        <family val="2"/>
      </rPr>
      <t>contratatos</t>
    </r>
  </si>
  <si>
    <t>lona par cobertura</t>
  </si>
  <si>
    <t>aditivos</t>
  </si>
  <si>
    <t>compras de insumos para processamento caseiro de alimentos</t>
  </si>
  <si>
    <t>Total compras para process. Caseiro</t>
  </si>
  <si>
    <t>combustível</t>
  </si>
  <si>
    <t>Os tres valores das linhas abaixo devem ser exatamente iguiais</t>
  </si>
  <si>
    <t>Os três valores da linha abaixo devem ser iguais</t>
  </si>
  <si>
    <r>
      <t>Reais / ha(SAU)</t>
    </r>
    <r>
      <rPr>
        <b/>
        <sz val="14"/>
        <rFont val="Arial"/>
        <family val="2"/>
      </rPr>
      <t xml:space="preserve"> *</t>
    </r>
  </si>
  <si>
    <t>fim de paginda</t>
  </si>
  <si>
    <t>Benfeitorias</t>
  </si>
  <si>
    <t>Aposentadoria</t>
  </si>
  <si>
    <t>Prestação de Serviço</t>
  </si>
  <si>
    <t>Trator</t>
  </si>
  <si>
    <t>Casa sede</t>
  </si>
  <si>
    <t>Refroma do trator</t>
  </si>
  <si>
    <t>FAMÍLIA</t>
  </si>
  <si>
    <t>Produção leite (litros/ano)</t>
  </si>
  <si>
    <t>Nº médio vacas em lactação</t>
  </si>
  <si>
    <t>Área silagem (safra + safrinha)</t>
  </si>
  <si>
    <t>Área total pastagens (média inv e verão)</t>
  </si>
  <si>
    <t>Quant. ração /vaca em prod./dia</t>
  </si>
  <si>
    <t>Produção leite (litros/vaca/ano)</t>
  </si>
  <si>
    <t>Produção leite (litros/ha/ano)</t>
  </si>
  <si>
    <t>Lotação (UA/ha past.)</t>
  </si>
  <si>
    <t>Área silagem /vaca lact.</t>
  </si>
  <si>
    <t>Valor Venda</t>
  </si>
  <si>
    <t>VALOR CONSUMO
ALIMENTO FAMILIA (kg)</t>
  </si>
  <si>
    <t xml:space="preserve"> valor
 Uso em outras 
atividades na proriedade
(KG)</t>
  </si>
  <si>
    <t>valor outras
 rendas</t>
  </si>
  <si>
    <t>Vacas secas</t>
  </si>
  <si>
    <t>Área</t>
  </si>
  <si>
    <t>Área do leite</t>
  </si>
  <si>
    <t>Vacas lactação</t>
  </si>
  <si>
    <t>Silagem</t>
  </si>
  <si>
    <t>Concentrado</t>
  </si>
  <si>
    <t>Fêmeas 0-12 meses</t>
  </si>
  <si>
    <t>Fêmeas 13-24 meses</t>
  </si>
  <si>
    <t>Machos 0-12 meses</t>
  </si>
  <si>
    <t>Machos 13-24 meses</t>
  </si>
  <si>
    <t>Touros</t>
  </si>
  <si>
    <t>Produção de leite por dia</t>
  </si>
  <si>
    <t>Produção de leite por vaca</t>
  </si>
  <si>
    <t>Atual</t>
  </si>
  <si>
    <t>Consumo de silagem por vaca em lactação</t>
  </si>
  <si>
    <t>Lotação animal (cabeças/ha)</t>
  </si>
  <si>
    <t>Jan</t>
  </si>
  <si>
    <t>Fev</t>
  </si>
  <si>
    <t>Mar</t>
  </si>
  <si>
    <t>Abr</t>
  </si>
  <si>
    <t>Mai</t>
  </si>
  <si>
    <t>Ago</t>
  </si>
  <si>
    <t>Set</t>
  </si>
  <si>
    <t>Out</t>
  </si>
  <si>
    <t>Nov</t>
  </si>
  <si>
    <t>Dez</t>
  </si>
  <si>
    <t>Meta da família</t>
  </si>
  <si>
    <t>Produtor:</t>
  </si>
  <si>
    <t>Município:</t>
  </si>
  <si>
    <t>Fêmeas +24 meses</t>
  </si>
  <si>
    <t>Machos +24 meses</t>
  </si>
  <si>
    <t>Preço médio Mensal</t>
  </si>
  <si>
    <t>MÉDIA</t>
  </si>
  <si>
    <t>GRÃOS</t>
  </si>
  <si>
    <t>Verão</t>
  </si>
  <si>
    <t>Inverno</t>
  </si>
  <si>
    <t>PASTAGENS</t>
  </si>
  <si>
    <t>Peso unit.</t>
  </si>
  <si>
    <t>Variação(R$)</t>
  </si>
  <si>
    <t>REBANHO</t>
  </si>
  <si>
    <t>PASTAGENS E SUPLEMENTOS</t>
  </si>
  <si>
    <t>PREÇO E CUSTO</t>
  </si>
  <si>
    <t>Custo por litro (R$)</t>
  </si>
  <si>
    <t>Preço por litro (R$)</t>
  </si>
  <si>
    <t>VARIÁVEIS BÁSICAS (NOVA PSP)</t>
  </si>
  <si>
    <t>PRODUÇÃO ATUAL E META</t>
  </si>
  <si>
    <t>PRODUÇÃO DIÁRIA DE LEITE</t>
  </si>
  <si>
    <t>Litros / dia</t>
  </si>
  <si>
    <t>R$ / litro</t>
  </si>
  <si>
    <t>Área com
repetição (ha)</t>
  </si>
  <si>
    <t>produção
 total (kg)</t>
  </si>
  <si>
    <t>Qtde vendida</t>
  </si>
  <si>
    <t xml:space="preserve">   PRODUÇÃO MENSAL DE LEITE</t>
  </si>
  <si>
    <t>Venda (kg)</t>
  </si>
  <si>
    <t>-</t>
  </si>
  <si>
    <t>Custo Operacional (desembolso):</t>
  </si>
  <si>
    <t>PRODUÇÃO - META DA FAMÍLIA</t>
  </si>
  <si>
    <t>PROTEINA</t>
  </si>
  <si>
    <t>GORDURA</t>
  </si>
  <si>
    <t>CCS</t>
  </si>
  <si>
    <t>CBT</t>
  </si>
  <si>
    <t>área - ha 
(safrinha)</t>
  </si>
  <si>
    <t>área - ha
 (safra)</t>
  </si>
  <si>
    <t>Época</t>
  </si>
  <si>
    <t>Culturas</t>
  </si>
  <si>
    <t>Tipo de culturas</t>
  </si>
  <si>
    <t>O percentual de vacas em lactação do total de vacas é de:</t>
  </si>
  <si>
    <t>O percentual de vacas em lactação do total do rebanho é de:</t>
  </si>
  <si>
    <t>Estoque (kg)</t>
  </si>
  <si>
    <t>Custo do kg da silagem (R$)</t>
  </si>
  <si>
    <t>Jul/14</t>
  </si>
  <si>
    <t>Jun/15</t>
  </si>
  <si>
    <t>Qtde meses</t>
  </si>
  <si>
    <t>Qtde de meses de fornecimento de silagem</t>
  </si>
  <si>
    <t xml:space="preserve">Terra própria:   </t>
  </si>
  <si>
    <r>
      <t xml:space="preserve">Arrendamento </t>
    </r>
    <r>
      <rPr>
        <b/>
        <sz val="12"/>
        <rFont val="Arial"/>
        <family val="2"/>
      </rPr>
      <t>de</t>
    </r>
    <r>
      <rPr>
        <sz val="12"/>
        <rFont val="Arial"/>
        <family val="2"/>
      </rPr>
      <t xml:space="preserve"> terceiros:   </t>
    </r>
  </si>
  <si>
    <r>
      <t xml:space="preserve">Arrendamento </t>
    </r>
    <r>
      <rPr>
        <b/>
        <sz val="12"/>
        <rFont val="Arial"/>
        <family val="2"/>
      </rPr>
      <t>para</t>
    </r>
    <r>
      <rPr>
        <sz val="12"/>
        <rFont val="Arial"/>
        <family val="2"/>
      </rPr>
      <t xml:space="preserve"> terceiros:   </t>
    </r>
  </si>
  <si>
    <t>Descrição</t>
  </si>
  <si>
    <t>Consumo estimado de pasto</t>
  </si>
  <si>
    <t>Custo da pastagem (ha)</t>
  </si>
  <si>
    <t>Receita com leite</t>
  </si>
  <si>
    <t>Receita com animais</t>
  </si>
  <si>
    <t>Tipo de Cultivo</t>
  </si>
  <si>
    <t>PASTAGEM</t>
  </si>
  <si>
    <t>Custo Resumido</t>
  </si>
  <si>
    <t>Área média com Grãos</t>
  </si>
  <si>
    <t>Área média com pastagens</t>
  </si>
  <si>
    <t>Matas</t>
  </si>
  <si>
    <t>QUALIDADE DO LEITE</t>
  </si>
  <si>
    <t>Valor (R$)</t>
  </si>
  <si>
    <t>* É o que o produtor sente no bolso (sem depreciação)</t>
  </si>
  <si>
    <t>Margem bruta anual - Leite</t>
  </si>
  <si>
    <t>Margem bruta anual - Grãos</t>
  </si>
  <si>
    <t>Saldo de caixa (mensal)</t>
  </si>
  <si>
    <t>Outras rendas (anual)</t>
  </si>
  <si>
    <t>Margem bruta do Leite (R$/ha/ano)</t>
  </si>
  <si>
    <t>Margem bruta de grãos (R$/ha/ano)</t>
  </si>
  <si>
    <t>Margem bruta total (R$/ha/ano)</t>
  </si>
  <si>
    <t>Qtde de meses de fornecimento de concentrado</t>
  </si>
  <si>
    <t>SALDO DA FAMÍLIA</t>
  </si>
  <si>
    <t>Outras rendas não agrícolas</t>
  </si>
  <si>
    <t>Atividade Leiteira</t>
  </si>
  <si>
    <t>Agricultura (grãos)</t>
  </si>
  <si>
    <t>Leite (R$/ha/ano)</t>
  </si>
  <si>
    <t>Grãos (R$/ha/ano)</t>
  </si>
  <si>
    <t>Total (R$/ha/ano)</t>
  </si>
  <si>
    <t>Consumo de concentrado por vaca em lactação</t>
  </si>
  <si>
    <r>
      <rPr>
        <b/>
        <sz val="10"/>
        <color indexed="10"/>
        <rFont val="Arial"/>
        <family val="2"/>
      </rPr>
      <t>PREENCHIMENTO FACULTATIVO</t>
    </r>
    <r>
      <rPr>
        <b/>
        <sz val="10"/>
        <rFont val="Arial"/>
        <family val="2"/>
      </rPr>
      <t xml:space="preserve"> (PREENCHER SOMENTE QUANDO O CUSTO RESUMIDO ESTIVER EM BRANCO)</t>
    </r>
  </si>
  <si>
    <t>Área útil (ha):</t>
  </si>
  <si>
    <t>Banhados / Açudes</t>
  </si>
  <si>
    <t>Outros</t>
  </si>
  <si>
    <t>DADOS CADASTRAIS DA PROPRIEDADE RURAL</t>
  </si>
  <si>
    <t>Total de litros prodzidos no ano</t>
  </si>
  <si>
    <t>Os animais pastam? (Marque com um "x")</t>
  </si>
  <si>
    <t>Margem Bruta (R$/ha)</t>
  </si>
  <si>
    <t>Feno</t>
  </si>
  <si>
    <t>FORRAGEM CONSERVADA</t>
  </si>
  <si>
    <t>OUTROS USOS</t>
  </si>
  <si>
    <t>Produção de leite por dia (atual)</t>
  </si>
  <si>
    <t>Produção de leite por dia (meta)</t>
  </si>
  <si>
    <t>Produção de leite por vaca (meta)</t>
  </si>
  <si>
    <t>Nome (contratado)</t>
  </si>
  <si>
    <t>*Ideal é menor que 30%</t>
  </si>
  <si>
    <t>*Ideal é maior que 65%</t>
  </si>
  <si>
    <t>*Ideal é maior que 85%</t>
  </si>
  <si>
    <t>MARGEM BRUTA (SALDO QUE SOBRA)</t>
  </si>
  <si>
    <t>Margem bruta* (mensal)</t>
  </si>
  <si>
    <t>SALDO da FAMÍLIA</t>
  </si>
  <si>
    <t>Dívidas (média mensal)</t>
  </si>
  <si>
    <t>de sobra por mês</t>
  </si>
  <si>
    <t>Produção de leite mensal</t>
  </si>
  <si>
    <t>Consumo médio de alimentos (kg de MATÉRIA VERDE por vaca em lactação por dia)</t>
  </si>
  <si>
    <t>Pasto</t>
  </si>
  <si>
    <t>Consumo de concentrado - vaca em lactação (Kg por dia)</t>
  </si>
  <si>
    <t>Consumo de silagem - vaca em lactação (Kg MV por dia)</t>
  </si>
  <si>
    <t>Silagem*</t>
  </si>
  <si>
    <t>MÉDIA**</t>
  </si>
  <si>
    <t>Área de silagem*</t>
  </si>
  <si>
    <t>* Safra mais safrinha</t>
  </si>
  <si>
    <t>* É o que o sobra da atividade por mês (sem depreciação)</t>
  </si>
  <si>
    <t>Total (kg de MV por dia)</t>
  </si>
  <si>
    <r>
      <t xml:space="preserve">* A tabela de investimentos considera o valor exatamente pago (c/ juros implícito), mas não está ligada a nenhum outro quadro, por tanto </t>
    </r>
    <r>
      <rPr>
        <u/>
        <sz val="8"/>
        <rFont val="Arial"/>
        <family val="2"/>
      </rPr>
      <t>não tem duplicidade</t>
    </r>
    <r>
      <rPr>
        <sz val="8"/>
        <rFont val="Arial"/>
        <family val="2"/>
      </rPr>
      <t xml:space="preserve"> com a compra de insumos (custo).</t>
    </r>
  </si>
  <si>
    <t>O percentual de parcelamentos em relação ao que sobra no ano (margem bruta) é de:</t>
  </si>
  <si>
    <t>Área da UO (prop.+arrend.)</t>
  </si>
  <si>
    <t>Área útil (prop.+arrend.)</t>
  </si>
  <si>
    <t>Período inicial:</t>
  </si>
  <si>
    <t>Período final:</t>
  </si>
  <si>
    <t>Verão (anuais)</t>
  </si>
  <si>
    <t>Inverno (anuais)</t>
  </si>
  <si>
    <t>Aproveitamento (médio)</t>
  </si>
  <si>
    <t>Produção (kg MV/ha)</t>
  </si>
  <si>
    <t>Quantidade (cabeças)</t>
  </si>
  <si>
    <t>Peso médio (kg/cabeça)</t>
  </si>
  <si>
    <r>
      <t xml:space="preserve">INVESTIMENTOS* - pagamento único ou em </t>
    </r>
    <r>
      <rPr>
        <b/>
        <u/>
        <sz val="12"/>
        <rFont val="Arial"/>
        <family val="2"/>
      </rPr>
      <t>parcelas</t>
    </r>
  </si>
  <si>
    <t>* Recomendado (máximo): 3 kg de concentrado por litro</t>
  </si>
  <si>
    <t>Consumo (% do PV)***</t>
  </si>
  <si>
    <t>*** O valor padrão usado com mais frequência é 4%</t>
  </si>
  <si>
    <t>Litros de leite por vaca por dia</t>
  </si>
  <si>
    <t>Litros de leite entregues por dia</t>
  </si>
  <si>
    <t>Produção por ano (litros/ano/ha)</t>
  </si>
  <si>
    <t>Consumo alimento familia (mês)</t>
  </si>
  <si>
    <t>Consumo terneiras (mês)</t>
  </si>
  <si>
    <t>Uso processamento caseiro (mês)</t>
  </si>
  <si>
    <t xml:space="preserve">                                                                                                                                                                                                                                                                                                                                                                                                                                                                                                                                                                                                                                                                                                                                                                                                                                                                                                                                                                                                                                                                                                                                                                                                                                                                                                                                                                                                                                                                                                                                                                                                                                                                                                                                                                                                                                                                                                                                                                                                                                                                                                                                                                                                                                                                                                                                                                                                                                                                                                                                                                                                                                                                                                                                                                                                                                                                                                                                                                                                                                                                                                                                                                                                                                                                                                                                                                                                                                                                                                                                                                                                                                                                                                                                                                                                                                                                                                                                                                                                                                                                                                                                                                                                                                                                                                                                                          </t>
  </si>
  <si>
    <t>Conservação
 de máq. e equipamentos</t>
  </si>
  <si>
    <t>Conservação e reparos de benfeitorias</t>
  </si>
  <si>
    <t>Relação concentrado / litro de leite (acima de 10 litros)*</t>
  </si>
  <si>
    <t>RESUMO GRÁFICO (Nova PSP)</t>
  </si>
  <si>
    <t>Tipo de Alimento</t>
  </si>
  <si>
    <t>* A quantidade de silagem desta planilha não está ligada aos custos, serve apenas para visualizar o consumo das vacas em lactação.</t>
  </si>
  <si>
    <t>USO RESTRITO PARA TESTE (6b) - Setembro/2016 - planilha provisória</t>
  </si>
  <si>
    <t>Nome do(a) responsável pela Propriedade Rural:</t>
  </si>
  <si>
    <t>Localidade:</t>
  </si>
  <si>
    <t>Coordenadas geográficas:</t>
  </si>
  <si>
    <t>Municipio / UF:</t>
  </si>
  <si>
    <t>Microrregião da Emater:</t>
  </si>
  <si>
    <t>Perenes</t>
  </si>
  <si>
    <t>AUTOCONSUMO</t>
  </si>
  <si>
    <t xml:space="preserve">      TOTAL DE ÁREA UTILIZADA (Superfície agrícola útil-SAU) ==&gt;  </t>
  </si>
  <si>
    <t>Categoria animal</t>
  </si>
  <si>
    <t xml:space="preserve"> TOTAL</t>
  </si>
  <si>
    <t>ALIMENTAÇÃO - VACAS EM LACTAÇÃO</t>
  </si>
  <si>
    <t>Vacas em lactação:</t>
  </si>
  <si>
    <t>Peso médio (kg)</t>
  </si>
  <si>
    <r>
      <t>** A média refere-se apenas aos meses com consumo de alimento (</t>
    </r>
    <r>
      <rPr>
        <u/>
        <sz val="8"/>
        <rFont val="Arial"/>
        <family val="2"/>
      </rPr>
      <t>meses zerados</t>
    </r>
    <r>
      <rPr>
        <sz val="8"/>
        <rFont val="Arial"/>
        <family val="2"/>
      </rPr>
      <t xml:space="preserve"> não entram na conta)</t>
    </r>
  </si>
  <si>
    <t>Percentual de comida no cocho (% em MS)</t>
  </si>
  <si>
    <t>Quantidade de silagem estocada no fim do período (quilogramas):</t>
  </si>
  <si>
    <t>Tempo estimado para utilizar o restante do volumoso com vacas em lactação:</t>
  </si>
  <si>
    <t>PRODUÇÃO DE GRÃOS e FORRAGEM CONSERVADA</t>
  </si>
  <si>
    <t>Produtividade (kg/ha)</t>
  </si>
  <si>
    <t>Valor total da produção (R$)</t>
  </si>
  <si>
    <t>kg p/ vacas lact.</t>
  </si>
  <si>
    <t>Outras rendas (aposentadoria, serviços, etc... )</t>
  </si>
  <si>
    <t>TIPO (não incluir produtos derivados do leite)</t>
  </si>
  <si>
    <t>VALOR ANNUAL (R$)</t>
  </si>
  <si>
    <t>Produção de leite por vaca (atual)</t>
  </si>
  <si>
    <t>Valor em Reais</t>
  </si>
  <si>
    <t>MÉDIA MENSAL DO PERÍODO ==&gt;</t>
  </si>
  <si>
    <t>Preço (R$/litro)</t>
  </si>
  <si>
    <t>MÉDIA DO PERÍODO ==&gt;</t>
  </si>
  <si>
    <t>Matriz (descarte ou venda)</t>
  </si>
  <si>
    <t>Novilha e/ou terneira</t>
  </si>
  <si>
    <t>Macho</t>
  </si>
  <si>
    <t xml:space="preserve"> MOVIMENTO DE BOVINOS</t>
  </si>
  <si>
    <t>Consumo familiar (kg)</t>
  </si>
  <si>
    <t>Preço  (R$/cabeça)</t>
  </si>
  <si>
    <t>Quantidade (kg)</t>
  </si>
  <si>
    <t>Preço unitário       (R$)</t>
  </si>
  <si>
    <t xml:space="preserve"> MÃO-DE-OBRA</t>
  </si>
  <si>
    <t xml:space="preserve">Total UTF = </t>
  </si>
  <si>
    <t>Unidade (dia, mês, hora)</t>
  </si>
  <si>
    <t xml:space="preserve">   Detalhamento do serviço executado</t>
  </si>
  <si>
    <t>Valor total    (R$)</t>
  </si>
  <si>
    <t>Valor unitário    (R$)</t>
  </si>
  <si>
    <t xml:space="preserve">Total de pessoas adultas (acima de 18 anos) da família = </t>
  </si>
  <si>
    <t>PORCENTAGEM DE RATEIO DA MÃO-DE-OBRA CONTRATADA (quanto % da despesa vai para cada atividade)</t>
  </si>
  <si>
    <t>Total em Reais</t>
  </si>
  <si>
    <t>Grãos de
 produção própria</t>
  </si>
  <si>
    <t>Tipo de grão</t>
  </si>
  <si>
    <t>Auditoria</t>
  </si>
  <si>
    <t>Estoque da última safra (kg)</t>
  </si>
  <si>
    <t>Quantidade utilizada (kg)</t>
  </si>
  <si>
    <t>Alimentos comprados para os animais</t>
  </si>
  <si>
    <t>Quantidade  
(Kg)</t>
  </si>
  <si>
    <t>Preço unitário     (R$)</t>
  </si>
  <si>
    <t>Medicamentos geral</t>
  </si>
  <si>
    <t>Inseminação (sêmen e serviço contratado)</t>
  </si>
  <si>
    <t xml:space="preserve">Energia eletrica </t>
  </si>
  <si>
    <t>Material limpeza e desinfecção</t>
  </si>
  <si>
    <t>Leite em pó (substituto) para criação das terneira</t>
  </si>
  <si>
    <t>Produto</t>
  </si>
  <si>
    <t>Valor unitário   (R$)</t>
  </si>
  <si>
    <t>Saldo (kg)</t>
  </si>
  <si>
    <t>Gastos com a atividade leiteira (sem os grãos) em Reais ==&gt;</t>
  </si>
  <si>
    <t>Outras custos (impostos, juros, arrendamentos... )</t>
  </si>
  <si>
    <t>Porcentagem de rateio dos custos (quanto % vai para cada atividade)</t>
  </si>
  <si>
    <t>Funrural</t>
  </si>
  <si>
    <t>Valor total     (sem o funrural do leite)</t>
  </si>
  <si>
    <t>Informar investimentos (máquinas, equipamentos, etc...)</t>
  </si>
  <si>
    <r>
      <t xml:space="preserve">O saldo REAL da família </t>
    </r>
    <r>
      <rPr>
        <u/>
        <sz val="10"/>
        <rFont val="Arial"/>
        <family val="2"/>
      </rPr>
      <t>descontando</t>
    </r>
    <r>
      <rPr>
        <sz val="10"/>
        <rFont val="Arial"/>
        <family val="2"/>
      </rPr>
      <t xml:space="preserve"> o que foi pago de parcelas no ano é de:</t>
    </r>
  </si>
  <si>
    <r>
      <rPr>
        <b/>
        <u/>
        <sz val="10"/>
        <rFont val="Arial"/>
        <family val="2"/>
      </rPr>
      <t>INSIRA AQUI</t>
    </r>
    <r>
      <rPr>
        <sz val="10"/>
        <rFont val="Arial"/>
        <family val="2"/>
      </rPr>
      <t xml:space="preserve"> SEUS COMENTÁRIOS E OBSERVAÇÕES EM GERAL</t>
    </r>
  </si>
  <si>
    <t>REBANHO BOVINO - INVENTÁRIO INICIAL E FINAL</t>
  </si>
  <si>
    <r>
      <rPr>
        <b/>
        <sz val="10"/>
        <rFont val="Arial"/>
        <family val="2"/>
      </rPr>
      <t>INSIRA AQUI</t>
    </r>
    <r>
      <rPr>
        <sz val="10"/>
        <rFont val="Arial"/>
        <family val="2"/>
      </rPr>
      <t xml:space="preserve"> SEUS COMENTÁRIOS E OBSERVAÇÕES EM GERAL</t>
    </r>
  </si>
  <si>
    <r>
      <rPr>
        <b/>
        <u/>
        <sz val="12"/>
        <rFont val="Arial"/>
        <family val="2"/>
      </rPr>
      <t>INSIRA AQUI</t>
    </r>
    <r>
      <rPr>
        <b/>
        <sz val="12"/>
        <rFont val="Arial"/>
        <family val="2"/>
      </rPr>
      <t xml:space="preserve"> </t>
    </r>
    <r>
      <rPr>
        <sz val="12"/>
        <rFont val="Arial"/>
        <family val="2"/>
      </rPr>
      <t>SEUS COMENTÁRIOS E OBSERVAÇÕES EM GERAL</t>
    </r>
  </si>
  <si>
    <r>
      <rPr>
        <b/>
        <u/>
        <sz val="10"/>
        <rFont val="Arial"/>
        <family val="2"/>
      </rPr>
      <t xml:space="preserve">INSIRA AQUI </t>
    </r>
    <r>
      <rPr>
        <sz val="10"/>
        <rFont val="Arial"/>
        <family val="2"/>
      </rPr>
      <t>SEUS COMENTÁRIOS E OBSERVAÇÕES EM GERAL</t>
    </r>
  </si>
  <si>
    <t>CUSTO ESTIMADO        R$/hectare</t>
  </si>
  <si>
    <t>Média / ha</t>
  </si>
  <si>
    <r>
      <rPr>
        <b/>
        <sz val="10"/>
        <rFont val="Arial"/>
        <family val="2"/>
      </rPr>
      <t>INFORME</t>
    </r>
    <r>
      <rPr>
        <sz val="10"/>
        <rFont val="Arial"/>
        <family val="2"/>
      </rPr>
      <t xml:space="preserve"> O </t>
    </r>
    <r>
      <rPr>
        <u/>
        <sz val="10"/>
        <rFont val="Arial"/>
        <family val="2"/>
      </rPr>
      <t xml:space="preserve">CUSTO </t>
    </r>
    <r>
      <rPr>
        <sz val="10"/>
        <rFont val="Arial"/>
        <family val="2"/>
      </rPr>
      <t xml:space="preserve">TOTAL </t>
    </r>
    <r>
      <rPr>
        <u/>
        <sz val="10"/>
        <rFont val="Arial"/>
        <family val="2"/>
      </rPr>
      <t>ESTIMADO</t>
    </r>
    <r>
      <rPr>
        <sz val="10"/>
        <rFont val="Arial"/>
        <family val="2"/>
      </rPr>
      <t xml:space="preserve"> POR HECTARE NA TABELA ABAIXO </t>
    </r>
    <r>
      <rPr>
        <b/>
        <u/>
        <sz val="10"/>
        <rFont val="Arial"/>
        <family val="2"/>
      </rPr>
      <t>OU</t>
    </r>
    <r>
      <rPr>
        <sz val="10"/>
        <rFont val="Arial"/>
        <family val="2"/>
      </rPr>
      <t xml:space="preserve"> OS </t>
    </r>
    <r>
      <rPr>
        <u/>
        <sz val="10"/>
        <rFont val="Arial"/>
        <family val="2"/>
      </rPr>
      <t>CUSTOS DISCRIMINADOS</t>
    </r>
    <r>
      <rPr>
        <sz val="10"/>
        <rFont val="Arial"/>
        <family val="2"/>
      </rPr>
      <t xml:space="preserve"> NAS TABELAS MAIS ABAIXO</t>
    </r>
  </si>
  <si>
    <t>Semente</t>
  </si>
  <si>
    <t>Fertilizantes NPK</t>
  </si>
  <si>
    <t>Fertilizante Orgânico</t>
  </si>
  <si>
    <t>Tratamento de sementes</t>
  </si>
  <si>
    <t>Herbicida pré-plantio</t>
  </si>
  <si>
    <t>Herbicida pós-plantio</t>
  </si>
  <si>
    <t>Inseticidas</t>
  </si>
  <si>
    <t>Fungicidas</t>
  </si>
  <si>
    <r>
      <t xml:space="preserve">Serviço de colheita </t>
    </r>
    <r>
      <rPr>
        <sz val="10"/>
        <color indexed="10"/>
        <rFont val="Arial"/>
        <family val="2"/>
      </rPr>
      <t>contratada</t>
    </r>
  </si>
  <si>
    <r>
      <t xml:space="preserve">Serviço de trator </t>
    </r>
    <r>
      <rPr>
        <sz val="10"/>
        <color indexed="10"/>
        <rFont val="Arial"/>
        <family val="2"/>
      </rPr>
      <t>contratado</t>
    </r>
  </si>
  <si>
    <r>
      <t xml:space="preserve">Frete </t>
    </r>
    <r>
      <rPr>
        <sz val="10"/>
        <color indexed="10"/>
        <rFont val="Arial"/>
        <family val="2"/>
      </rPr>
      <t>contratato</t>
    </r>
  </si>
  <si>
    <t>Combustível</t>
  </si>
  <si>
    <t>Unidade do insumo                        ou do serviço</t>
  </si>
  <si>
    <t>Quantidade      por hectare</t>
  </si>
  <si>
    <t>Quantidade   total</t>
  </si>
  <si>
    <t>Custo Estimado na Tabela Inicial</t>
  </si>
  <si>
    <r>
      <t xml:space="preserve">CASO PREENCHA o quadro acima; </t>
    </r>
    <r>
      <rPr>
        <b/>
        <u/>
        <sz val="9"/>
        <rFont val="Arial"/>
        <family val="2"/>
      </rPr>
      <t>NÃO PREENCHA</t>
    </r>
    <r>
      <rPr>
        <b/>
        <sz val="9"/>
        <rFont val="Arial"/>
        <family val="2"/>
      </rPr>
      <t xml:space="preserve"> o quadro abaixo</t>
    </r>
  </si>
  <si>
    <t>Nome do técnico responsável pelo preenchimento:</t>
  </si>
  <si>
    <t>CUSTOS NOS CULTIVOS DE GRÃOS, PASTAGENS E SILAGENS</t>
  </si>
  <si>
    <t>CUSTOS COM ATIVIDADE LEITEIRA</t>
  </si>
  <si>
    <r>
      <t xml:space="preserve">Preço (R$/ </t>
    </r>
    <r>
      <rPr>
        <b/>
        <u/>
        <sz val="12"/>
        <rFont val="Arial"/>
        <family val="2"/>
      </rPr>
      <t>quilo</t>
    </r>
    <r>
      <rPr>
        <b/>
        <sz val="12"/>
        <rFont val="Arial"/>
        <family val="2"/>
      </rPr>
      <t xml:space="preserve"> ) - obrigatório informar</t>
    </r>
  </si>
  <si>
    <t>Consumo próprio previsto ou realizado (kg)</t>
  </si>
  <si>
    <t>Produção Total (kg)</t>
  </si>
  <si>
    <t>Digitar o nome</t>
  </si>
  <si>
    <t>Digitar o município</t>
  </si>
  <si>
    <t>vacas lactação %</t>
  </si>
  <si>
    <t>vacas secas %</t>
  </si>
  <si>
    <t>terneiras %</t>
  </si>
  <si>
    <t>outras categ. ani. %</t>
  </si>
  <si>
    <t>Na guia Despesas (Agr.) na célula F406 ao invés de E406*I$388 a fórmula correta era E406*I$362</t>
  </si>
  <si>
    <t>No dia 06/03/2021 corrigi um erro da planilha:</t>
  </si>
  <si>
    <t>Na guia RESULTADOS célula D18 faltou subtrair a conservação advinda da depreciação "'F. resultad econ. glob. detalh'!B54-'F. resultad econ. glob. detalh'!B55"</t>
  </si>
  <si>
    <t>Na guia RESULTADOS na célula H47 acrescentei ao valor da venda de aimais e subtrai a variação de estoque dos animais (PRODUÇÃO!I76+REBANHO!I17)</t>
  </si>
  <si>
    <t>Na guia RESULTADOS na célula H47 acrescentei o valor da depreciação de cada umas das culturas</t>
  </si>
  <si>
    <t>Na guia RESULTADOS tirei "aspas" da célula H26 e coloquei ZERO no fórmula "SE"</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</si>
</sst>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6" formatCode="&quot;R$&quot;\ #,##0;[Red]\-&quot;R$&quot;\ #,##0"/>
    <numFmt numFmtId="43" formatCode="_-* #,##0.00_-;\-* #,##0.00_-;_-* &quot;-&quot;??_-;_-@_-"/>
    <numFmt numFmtId="164" formatCode="_(* #,##0_);_(* \(#,##0\);_(* &quot;-&quot;_);_(@_)"/>
    <numFmt numFmtId="165" formatCode="_(* #,##0.00_);_(* \(#,##0.00\);_(* &quot;-&quot;??_);_(@_)"/>
    <numFmt numFmtId="166" formatCode="_(&quot;Cr$&quot;* #,##0.00_);_(&quot;Cr$&quot;* \(#,##0.00\);_(&quot;Cr$&quot;* &quot;-&quot;??_);_(@_)"/>
    <numFmt numFmtId="167" formatCode="0.0"/>
    <numFmt numFmtId="168" formatCode="_(* #,##0.0_);_(* \(#,##0.0\);_(* &quot;-&quot;??_);_(@_)"/>
    <numFmt numFmtId="169" formatCode="_(* #,##0_);_(* \(#,##0\);_(* &quot;-&quot;??_);_(@_)"/>
    <numFmt numFmtId="170" formatCode="0.000"/>
    <numFmt numFmtId="171" formatCode="_(* #,##0.000_);_(* \(#,##0.000\);_(* &quot;-&quot;??_);_(@_)"/>
    <numFmt numFmtId="172" formatCode="#,##0.0"/>
    <numFmt numFmtId="173" formatCode="0.0%"/>
    <numFmt numFmtId="174" formatCode="0.00_ ;[Red]\-0.00\ "/>
    <numFmt numFmtId="175" formatCode="_-* #,##0.000_-;\-* #,##0.000_-;_-* &quot;-&quot;??_-;_-@_-"/>
    <numFmt numFmtId="176" formatCode="0.0_ ;[Red]\-0.0\ "/>
    <numFmt numFmtId="177" formatCode="#,##0.000"/>
    <numFmt numFmtId="178" formatCode="&quot;R$&quot;\ #,##0"/>
    <numFmt numFmtId="179" formatCode="[$-416]mmmm\-yy;@"/>
    <numFmt numFmtId="180" formatCode="mmm"/>
    <numFmt numFmtId="181" formatCode="[$-416]mmm\-yy;@"/>
    <numFmt numFmtId="182" formatCode="[$-416]mmmm\-yyyy;@"/>
  </numFmts>
  <fonts count="154" x14ac:knownFonts="1">
    <font>
      <sz val="10"/>
      <name val="Arial"/>
    </font>
    <font>
      <b/>
      <sz val="10"/>
      <name val="Arial"/>
      <family val="2"/>
    </font>
    <font>
      <b/>
      <i/>
      <sz val="10"/>
      <name val="Arial"/>
      <family val="2"/>
    </font>
    <font>
      <sz val="11"/>
      <color indexed="8"/>
      <name val="Calibri"/>
      <family val="2"/>
    </font>
    <font>
      <sz val="11"/>
      <color indexed="9"/>
      <name val="Calibri"/>
      <family val="2"/>
    </font>
    <font>
      <sz val="11"/>
      <color indexed="17"/>
      <name val="Calibri"/>
      <family val="2"/>
    </font>
    <font>
      <b/>
      <sz val="11"/>
      <color indexed="10"/>
      <name val="Calibri"/>
      <family val="2"/>
    </font>
    <font>
      <b/>
      <sz val="11"/>
      <color indexed="9"/>
      <name val="Calibri"/>
      <family val="2"/>
    </font>
    <font>
      <sz val="11"/>
      <color indexed="10"/>
      <name val="Calibri"/>
      <family val="2"/>
    </font>
    <font>
      <sz val="11"/>
      <color indexed="62"/>
      <name val="Calibri"/>
      <family val="2"/>
    </font>
    <font>
      <sz val="11"/>
      <color indexed="20"/>
      <name val="Calibri"/>
      <family val="2"/>
    </font>
    <font>
      <sz val="10"/>
      <name val="Arial"/>
      <family val="2"/>
    </font>
    <font>
      <sz val="11"/>
      <color indexed="19"/>
      <name val="Calibri"/>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sz val="12"/>
      <name val="Arial"/>
      <family val="2"/>
    </font>
    <font>
      <b/>
      <sz val="12"/>
      <name val="Arial"/>
      <family val="2"/>
    </font>
    <font>
      <b/>
      <sz val="12"/>
      <color indexed="10"/>
      <name val="Arial"/>
      <family val="2"/>
    </font>
    <font>
      <sz val="12"/>
      <color indexed="10"/>
      <name val="Arial"/>
      <family val="2"/>
    </font>
    <font>
      <b/>
      <i/>
      <sz val="12"/>
      <name val="Arial"/>
      <family val="2"/>
    </font>
    <font>
      <b/>
      <sz val="10"/>
      <color indexed="10"/>
      <name val="Arial"/>
      <family val="2"/>
    </font>
    <font>
      <b/>
      <sz val="10"/>
      <name val="Arial"/>
      <family val="2"/>
    </font>
    <font>
      <b/>
      <i/>
      <sz val="10"/>
      <name val="Arial"/>
      <family val="2"/>
    </font>
    <font>
      <sz val="10"/>
      <color indexed="10"/>
      <name val="Arial"/>
      <family val="2"/>
    </font>
    <font>
      <b/>
      <sz val="14"/>
      <name val="Arial"/>
      <family val="2"/>
    </font>
    <font>
      <sz val="14"/>
      <name val="Arial"/>
      <family val="2"/>
    </font>
    <font>
      <b/>
      <sz val="16"/>
      <color indexed="10"/>
      <name val="Arial"/>
      <family val="2"/>
    </font>
    <font>
      <sz val="10"/>
      <color indexed="12"/>
      <name val="Arial"/>
      <family val="2"/>
    </font>
    <font>
      <b/>
      <sz val="10"/>
      <color indexed="12"/>
      <name val="Arial"/>
      <family val="2"/>
    </font>
    <font>
      <sz val="12"/>
      <color indexed="40"/>
      <name val="Arial"/>
      <family val="2"/>
    </font>
    <font>
      <b/>
      <sz val="9"/>
      <name val="Arial"/>
      <family val="2"/>
    </font>
    <font>
      <b/>
      <i/>
      <sz val="8"/>
      <name val="Arial"/>
      <family val="2"/>
    </font>
    <font>
      <sz val="10"/>
      <name val="Arial"/>
      <family val="2"/>
    </font>
    <font>
      <b/>
      <sz val="18"/>
      <color indexed="10"/>
      <name val="Arial"/>
      <family val="2"/>
    </font>
    <font>
      <b/>
      <sz val="14"/>
      <color indexed="10"/>
      <name val="Arial"/>
      <family val="2"/>
    </font>
    <font>
      <b/>
      <sz val="16"/>
      <name val="Arial"/>
      <family val="2"/>
    </font>
    <font>
      <b/>
      <sz val="14"/>
      <color indexed="10"/>
      <name val="Tahoma"/>
      <family val="2"/>
    </font>
    <font>
      <sz val="14"/>
      <color indexed="81"/>
      <name val="Tahoma"/>
      <family val="2"/>
    </font>
    <font>
      <sz val="8"/>
      <color indexed="81"/>
      <name val="Tahoma"/>
      <family val="2"/>
    </font>
    <font>
      <b/>
      <sz val="12"/>
      <color indexed="10"/>
      <name val="Tahoma"/>
      <family val="2"/>
    </font>
    <font>
      <b/>
      <sz val="8"/>
      <color indexed="81"/>
      <name val="Tahoma"/>
      <family val="2"/>
    </font>
    <font>
      <sz val="10"/>
      <color indexed="48"/>
      <name val="Arial"/>
      <family val="2"/>
    </font>
    <font>
      <b/>
      <sz val="10"/>
      <color indexed="14"/>
      <name val="Arial"/>
      <family val="2"/>
    </font>
    <font>
      <b/>
      <sz val="12"/>
      <color indexed="14"/>
      <name val="Arial"/>
      <family val="2"/>
    </font>
    <font>
      <sz val="10"/>
      <color indexed="30"/>
      <name val="Arial"/>
      <family val="2"/>
    </font>
    <font>
      <sz val="8"/>
      <name val="Arial"/>
      <family val="2"/>
    </font>
    <font>
      <sz val="12"/>
      <color indexed="9"/>
      <name val="Arial"/>
      <family val="2"/>
    </font>
    <font>
      <sz val="10"/>
      <color indexed="9"/>
      <name val="Arial"/>
      <family val="2"/>
    </font>
    <font>
      <sz val="12"/>
      <name val="Arial"/>
      <family val="2"/>
    </font>
    <font>
      <b/>
      <sz val="12"/>
      <name val="Arial"/>
      <family val="2"/>
    </font>
    <font>
      <b/>
      <i/>
      <sz val="12"/>
      <name val="Arial"/>
      <family val="2"/>
    </font>
    <font>
      <b/>
      <sz val="10"/>
      <color indexed="10"/>
      <name val="Tahoma"/>
      <family val="2"/>
    </font>
    <font>
      <sz val="9"/>
      <color indexed="81"/>
      <name val="Tahoma"/>
      <family val="2"/>
    </font>
    <font>
      <b/>
      <sz val="9"/>
      <color indexed="81"/>
      <name val="Tahoma"/>
      <family val="2"/>
    </font>
    <font>
      <sz val="10"/>
      <color indexed="10"/>
      <name val="Arial"/>
      <family val="2"/>
    </font>
    <font>
      <sz val="9"/>
      <color indexed="10"/>
      <name val="Arial"/>
      <family val="2"/>
    </font>
    <font>
      <sz val="12"/>
      <color indexed="14"/>
      <name val="Arial"/>
      <family val="2"/>
    </font>
    <font>
      <sz val="10"/>
      <color indexed="14"/>
      <name val="Arial"/>
      <family val="2"/>
    </font>
    <font>
      <b/>
      <sz val="12"/>
      <color indexed="9"/>
      <name val="Arial"/>
      <family val="2"/>
    </font>
    <font>
      <sz val="9"/>
      <name val="Arial"/>
      <family val="2"/>
    </font>
    <font>
      <b/>
      <sz val="9"/>
      <name val="Arial"/>
      <family val="2"/>
    </font>
    <font>
      <sz val="9"/>
      <color indexed="10"/>
      <name val="Arial"/>
      <family val="2"/>
    </font>
    <font>
      <b/>
      <sz val="9"/>
      <color indexed="14"/>
      <name val="Arial"/>
      <family val="2"/>
    </font>
    <font>
      <sz val="16"/>
      <color indexed="10"/>
      <name val="Arial"/>
      <family val="2"/>
    </font>
    <font>
      <sz val="12"/>
      <color indexed="9"/>
      <name val="Arial"/>
      <family val="2"/>
    </font>
    <font>
      <b/>
      <sz val="12"/>
      <color indexed="9"/>
      <name val="Arial"/>
      <family val="2"/>
    </font>
    <font>
      <b/>
      <sz val="10"/>
      <color indexed="15"/>
      <name val="Arial"/>
      <family val="2"/>
    </font>
    <font>
      <sz val="12"/>
      <name val="Times New Roman"/>
      <family val="1"/>
    </font>
    <font>
      <sz val="9"/>
      <color indexed="9"/>
      <name val="Arial"/>
      <family val="2"/>
    </font>
    <font>
      <sz val="10"/>
      <color indexed="53"/>
      <name val="Arial"/>
      <family val="2"/>
    </font>
    <font>
      <sz val="10"/>
      <name val="Arial"/>
      <family val="2"/>
    </font>
    <font>
      <b/>
      <sz val="9"/>
      <color indexed="10"/>
      <name val="Arial"/>
      <family val="2"/>
    </font>
    <font>
      <sz val="12"/>
      <color indexed="10"/>
      <name val="Arial"/>
      <family val="2"/>
    </font>
    <font>
      <sz val="10"/>
      <color indexed="48"/>
      <name val="Arial"/>
      <family val="2"/>
    </font>
    <font>
      <sz val="12"/>
      <color indexed="48"/>
      <name val="Arial"/>
      <family val="2"/>
    </font>
    <font>
      <b/>
      <sz val="11"/>
      <name val="Arial"/>
      <family val="2"/>
    </font>
    <font>
      <b/>
      <sz val="10"/>
      <color indexed="48"/>
      <name val="Arial"/>
      <family val="2"/>
    </font>
    <font>
      <sz val="10"/>
      <color indexed="9"/>
      <name val="Arial"/>
      <family val="2"/>
    </font>
    <font>
      <sz val="10"/>
      <name val="Arial"/>
      <family val="2"/>
    </font>
    <font>
      <sz val="10"/>
      <color indexed="12"/>
      <name val="Arial"/>
      <family val="2"/>
    </font>
    <font>
      <b/>
      <sz val="10"/>
      <color indexed="10"/>
      <name val="Arial"/>
      <family val="2"/>
    </font>
    <font>
      <sz val="10"/>
      <name val="Arial"/>
      <family val="2"/>
    </font>
    <font>
      <b/>
      <sz val="10"/>
      <color indexed="48"/>
      <name val="Arial"/>
      <family val="2"/>
    </font>
    <font>
      <sz val="10"/>
      <color indexed="41"/>
      <name val="Arial"/>
      <family val="2"/>
    </font>
    <font>
      <sz val="10"/>
      <color indexed="10"/>
      <name val="Arial"/>
      <family val="2"/>
    </font>
    <font>
      <b/>
      <sz val="10"/>
      <color indexed="10"/>
      <name val="Arial"/>
      <family val="2"/>
    </font>
    <font>
      <b/>
      <sz val="10"/>
      <color indexed="9"/>
      <name val="Arial"/>
      <family val="2"/>
    </font>
    <font>
      <sz val="10"/>
      <color indexed="9"/>
      <name val="Arial"/>
      <family val="2"/>
    </font>
    <font>
      <sz val="8"/>
      <name val="Arial"/>
      <family val="2"/>
    </font>
    <font>
      <sz val="10"/>
      <name val="Arial"/>
      <family val="2"/>
    </font>
    <font>
      <sz val="10"/>
      <color indexed="9"/>
      <name val="Arial"/>
      <family val="2"/>
    </font>
    <font>
      <sz val="11"/>
      <color indexed="8"/>
      <name val="Calibri"/>
      <family val="2"/>
    </font>
    <font>
      <sz val="11"/>
      <color indexed="12"/>
      <name val="Calibri"/>
      <family val="2"/>
    </font>
    <font>
      <b/>
      <sz val="11"/>
      <color indexed="10"/>
      <name val="Arial"/>
      <family val="2"/>
    </font>
    <font>
      <b/>
      <sz val="8"/>
      <name val="Arial"/>
      <family val="2"/>
    </font>
    <font>
      <sz val="10"/>
      <color indexed="9"/>
      <name val="Arial"/>
      <family val="2"/>
    </font>
    <font>
      <b/>
      <sz val="12"/>
      <color indexed="12"/>
      <name val="Arial"/>
      <family val="2"/>
    </font>
    <font>
      <b/>
      <sz val="18"/>
      <color indexed="12"/>
      <name val="Arial"/>
      <family val="2"/>
    </font>
    <font>
      <b/>
      <sz val="10"/>
      <name val="Arial"/>
      <family val="2"/>
    </font>
    <font>
      <sz val="10"/>
      <name val="Arial"/>
      <family val="2"/>
    </font>
    <font>
      <sz val="10"/>
      <color indexed="53"/>
      <name val="Arial"/>
      <family val="2"/>
    </font>
    <font>
      <sz val="10"/>
      <color indexed="12"/>
      <name val="Arial"/>
      <family val="2"/>
    </font>
    <font>
      <b/>
      <sz val="11"/>
      <color indexed="12"/>
      <name val="Calibri"/>
      <family val="2"/>
    </font>
    <font>
      <sz val="12"/>
      <name val="Arial"/>
      <family val="2"/>
    </font>
    <font>
      <sz val="12"/>
      <color indexed="81"/>
      <name val="Tahoma"/>
      <family val="2"/>
    </font>
    <font>
      <b/>
      <sz val="12"/>
      <color indexed="81"/>
      <name val="Tahoma"/>
      <family val="2"/>
    </font>
    <font>
      <b/>
      <u/>
      <sz val="9"/>
      <color indexed="81"/>
      <name val="Tahoma"/>
      <family val="2"/>
    </font>
    <font>
      <sz val="11"/>
      <name val="Arial"/>
      <family val="2"/>
    </font>
    <font>
      <b/>
      <sz val="9"/>
      <name val="Arial"/>
      <family val="2"/>
    </font>
    <font>
      <b/>
      <sz val="18"/>
      <name val="Arial"/>
      <family val="2"/>
    </font>
    <font>
      <b/>
      <sz val="14"/>
      <color indexed="9"/>
      <name val="Arial"/>
      <family val="2"/>
    </font>
    <font>
      <b/>
      <sz val="10"/>
      <color indexed="8"/>
      <name val="Arial"/>
      <family val="2"/>
    </font>
    <font>
      <b/>
      <sz val="9"/>
      <color indexed="8"/>
      <name val="Arial"/>
      <family val="2"/>
    </font>
    <font>
      <sz val="14"/>
      <color indexed="10"/>
      <name val="Arial"/>
      <family val="2"/>
    </font>
    <font>
      <b/>
      <sz val="12"/>
      <color indexed="40"/>
      <name val="Arial"/>
      <family val="2"/>
    </font>
    <font>
      <b/>
      <sz val="11"/>
      <color indexed="10"/>
      <name val="Tahoma"/>
      <family val="2"/>
    </font>
    <font>
      <b/>
      <sz val="9"/>
      <color indexed="10"/>
      <name val="Tahoma"/>
      <family val="2"/>
    </font>
    <font>
      <b/>
      <sz val="11"/>
      <name val="Arial"/>
      <family val="2"/>
    </font>
    <font>
      <b/>
      <sz val="11"/>
      <color indexed="10"/>
      <name val="Arial"/>
      <family val="2"/>
    </font>
    <font>
      <b/>
      <sz val="14"/>
      <name val="Arial"/>
      <family val="2"/>
    </font>
    <font>
      <b/>
      <sz val="14"/>
      <color indexed="53"/>
      <name val="Arial"/>
      <family val="2"/>
    </font>
    <font>
      <b/>
      <sz val="12"/>
      <color indexed="53"/>
      <name val="Arial"/>
      <family val="2"/>
    </font>
    <font>
      <i/>
      <sz val="8"/>
      <name val="Arial"/>
      <family val="2"/>
    </font>
    <font>
      <b/>
      <sz val="9"/>
      <color indexed="81"/>
      <name val="Segoe UI"/>
      <family val="2"/>
    </font>
    <font>
      <sz val="12"/>
      <color theme="0" tint="-4.9989318521683403E-2"/>
      <name val="Arial"/>
      <family val="2"/>
    </font>
    <font>
      <b/>
      <sz val="12"/>
      <color theme="0" tint="-4.9989318521683403E-2"/>
      <name val="Arial"/>
      <family val="2"/>
    </font>
    <font>
      <b/>
      <sz val="9"/>
      <color theme="0" tint="-4.9989318521683403E-2"/>
      <name val="Arial"/>
      <family val="2"/>
    </font>
    <font>
      <sz val="10"/>
      <color theme="0" tint="-4.9989318521683403E-2"/>
      <name val="Arial"/>
      <family val="2"/>
    </font>
    <font>
      <b/>
      <sz val="10"/>
      <color rgb="FFFF0000"/>
      <name val="Arial"/>
      <family val="2"/>
    </font>
    <font>
      <b/>
      <sz val="14"/>
      <color rgb="FFFF0000"/>
      <name val="Arial"/>
      <family val="2"/>
    </font>
    <font>
      <sz val="10"/>
      <color theme="0" tint="-0.249977111117893"/>
      <name val="Arial"/>
      <family val="2"/>
    </font>
    <font>
      <b/>
      <sz val="10"/>
      <color theme="0" tint="-4.9989318521683403E-2"/>
      <name val="Arial"/>
      <family val="2"/>
    </font>
    <font>
      <u/>
      <sz val="10"/>
      <name val="Arial"/>
      <family val="2"/>
    </font>
    <font>
      <u/>
      <sz val="8"/>
      <name val="Arial"/>
      <family val="2"/>
    </font>
    <font>
      <sz val="10"/>
      <color theme="0"/>
      <name val="Arial"/>
      <family val="2"/>
    </font>
    <font>
      <sz val="7"/>
      <name val="Arial"/>
      <family val="2"/>
    </font>
    <font>
      <b/>
      <u/>
      <sz val="12"/>
      <name val="Arial"/>
      <family val="2"/>
    </font>
    <font>
      <sz val="18"/>
      <name val="Arial"/>
      <family val="2"/>
    </font>
    <font>
      <b/>
      <sz val="14"/>
      <color indexed="81"/>
      <name val="Tahoma"/>
      <family val="2"/>
    </font>
    <font>
      <b/>
      <u/>
      <sz val="10"/>
      <name val="Arial"/>
      <family val="2"/>
    </font>
    <font>
      <b/>
      <sz val="12"/>
      <color theme="0"/>
      <name val="Arial"/>
      <family val="2"/>
    </font>
    <font>
      <sz val="12"/>
      <color theme="0"/>
      <name val="Arial"/>
      <family val="2"/>
    </font>
    <font>
      <i/>
      <sz val="10"/>
      <name val="Arial"/>
      <family val="2"/>
    </font>
    <font>
      <sz val="11"/>
      <color theme="0"/>
      <name val="Arial"/>
      <family val="2"/>
    </font>
    <font>
      <sz val="10"/>
      <color rgb="FFFF0000"/>
      <name val="Arial"/>
      <family val="2"/>
    </font>
    <font>
      <b/>
      <u/>
      <sz val="9"/>
      <name val="Arial"/>
      <family val="2"/>
    </font>
    <font>
      <b/>
      <sz val="12"/>
      <color rgb="FFFF0000"/>
      <name val="Calibri"/>
      <family val="2"/>
    </font>
    <font>
      <b/>
      <sz val="10"/>
      <color theme="0"/>
      <name val="Arial"/>
      <family val="2"/>
    </font>
    <font>
      <b/>
      <sz val="14"/>
      <color indexed="81"/>
      <name val="Segoe UI"/>
      <family val="2"/>
    </font>
  </fonts>
  <fills count="4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bgColor indexed="64"/>
      </patternFill>
    </fill>
    <fill>
      <patternFill patternType="solid">
        <fgColor indexed="22"/>
        <bgColor indexed="64"/>
      </patternFill>
    </fill>
    <fill>
      <patternFill patternType="solid">
        <fgColor indexed="15"/>
        <bgColor indexed="64"/>
      </patternFill>
    </fill>
    <fill>
      <patternFill patternType="solid">
        <fgColor indexed="13"/>
        <bgColor indexed="64"/>
      </patternFill>
    </fill>
    <fill>
      <patternFill patternType="solid">
        <fgColor indexed="41"/>
        <bgColor indexed="64"/>
      </patternFill>
    </fill>
    <fill>
      <patternFill patternType="solid">
        <fgColor indexed="49"/>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53"/>
        <bgColor indexed="64"/>
      </patternFill>
    </fill>
    <fill>
      <patternFill patternType="solid">
        <fgColor indexed="51"/>
        <bgColor indexed="64"/>
      </patternFill>
    </fill>
    <fill>
      <patternFill patternType="solid">
        <fgColor indexed="44"/>
        <bgColor indexed="64"/>
      </patternFill>
    </fill>
    <fill>
      <patternFill patternType="solid">
        <fgColor indexed="8"/>
        <bgColor indexed="64"/>
      </patternFill>
    </fill>
    <fill>
      <patternFill patternType="solid">
        <fgColor indexed="55"/>
        <bgColor indexed="64"/>
      </patternFill>
    </fill>
    <fill>
      <patternFill patternType="solid">
        <fgColor indexed="22"/>
        <bgColor indexed="22"/>
      </patternFill>
    </fill>
    <fill>
      <patternFill patternType="solid">
        <fgColor indexed="52"/>
        <bgColor indexed="64"/>
      </patternFill>
    </fill>
    <fill>
      <patternFill patternType="solid">
        <fgColor indexed="11"/>
        <bgColor indexed="64"/>
      </patternFill>
    </fill>
    <fill>
      <patternFill patternType="solid">
        <fgColor indexed="4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FF99"/>
        <bgColor indexed="64"/>
      </patternFill>
    </fill>
    <fill>
      <patternFill patternType="solid">
        <fgColor rgb="FF99FF99"/>
        <bgColor indexed="64"/>
      </patternFill>
    </fill>
    <fill>
      <patternFill patternType="solid">
        <fgColor rgb="FF66FFFF"/>
        <bgColor indexed="64"/>
      </patternFill>
    </fill>
    <fill>
      <patternFill patternType="solid">
        <fgColor rgb="FFFFC000"/>
        <bgColor indexed="64"/>
      </patternFill>
    </fill>
    <fill>
      <patternFill patternType="solid">
        <fgColor rgb="FF00B050"/>
        <bgColor indexed="64"/>
      </patternFill>
    </fill>
    <fill>
      <patternFill patternType="solid">
        <fgColor theme="9" tint="-0.249977111117893"/>
        <bgColor indexed="64"/>
      </patternFill>
    </fill>
  </fills>
  <borders count="1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medium">
        <color indexed="64"/>
      </left>
      <right/>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right/>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right/>
      <top style="thin">
        <color indexed="64"/>
      </top>
      <bottom/>
      <diagonal/>
    </border>
    <border>
      <left/>
      <right style="medium">
        <color indexed="64"/>
      </right>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medium">
        <color indexed="64"/>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s>
  <cellStyleXfs count="46">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5" fillId="6" borderId="0" applyNumberFormat="0" applyBorder="0" applyAlignment="0" applyProtection="0"/>
    <xf numFmtId="0" fontId="6" fillId="11" borderId="1" applyNumberFormat="0" applyAlignment="0" applyProtection="0"/>
    <xf numFmtId="0" fontId="7" fillId="12" borderId="2" applyNumberFormat="0" applyAlignment="0" applyProtection="0"/>
    <xf numFmtId="0" fontId="8" fillId="0" borderId="3" applyNumberFormat="0" applyFill="0" applyAlignment="0" applyProtection="0"/>
    <xf numFmtId="0" fontId="4" fillId="13"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9" fillId="7" borderId="1" applyNumberFormat="0" applyAlignment="0" applyProtection="0"/>
    <xf numFmtId="0" fontId="10" fillId="17" borderId="0" applyNumberFormat="0" applyBorder="0" applyAlignment="0" applyProtection="0"/>
    <xf numFmtId="166" fontId="11" fillId="0" borderId="0" applyFont="0" applyFill="0" applyBorder="0" applyAlignment="0" applyProtection="0"/>
    <xf numFmtId="0" fontId="12" fillId="7" borderId="0" applyNumberFormat="0" applyBorder="0" applyAlignment="0" applyProtection="0"/>
    <xf numFmtId="0" fontId="11" fillId="0" borderId="0"/>
    <xf numFmtId="0" fontId="11" fillId="4" borderId="4" applyNumberFormat="0" applyFont="0" applyAlignment="0" applyProtection="0"/>
    <xf numFmtId="9" fontId="11" fillId="0" borderId="0" applyFont="0" applyFill="0" applyBorder="0" applyAlignment="0" applyProtection="0"/>
    <xf numFmtId="0" fontId="13" fillId="11" borderId="5" applyNumberFormat="0" applyAlignment="0" applyProtection="0"/>
    <xf numFmtId="0" fontId="8"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0" borderId="7" applyNumberFormat="0" applyFill="0" applyAlignment="0" applyProtection="0"/>
    <xf numFmtId="0" fontId="18" fillId="0" borderId="8" applyNumberFormat="0" applyFill="0" applyAlignment="0" applyProtection="0"/>
    <xf numFmtId="0" fontId="18" fillId="0" borderId="0" applyNumberFormat="0" applyFill="0" applyBorder="0" applyAlignment="0" applyProtection="0"/>
    <xf numFmtId="0" fontId="19" fillId="0" borderId="9" applyNumberFormat="0" applyFill="0" applyAlignment="0" applyProtection="0"/>
    <xf numFmtId="165" fontId="11" fillId="0" borderId="0" applyFont="0" applyFill="0" applyBorder="0" applyAlignment="0" applyProtection="0"/>
  </cellStyleXfs>
  <cellXfs count="3415">
    <xf numFmtId="0" fontId="0" fillId="0" borderId="0" xfId="0"/>
    <xf numFmtId="0" fontId="20" fillId="18" borderId="0" xfId="0" applyFont="1" applyFill="1" applyProtection="1"/>
    <xf numFmtId="0" fontId="20" fillId="0" borderId="10" xfId="0" applyFont="1" applyBorder="1" applyProtection="1"/>
    <xf numFmtId="0" fontId="20" fillId="18" borderId="10" xfId="0" applyFont="1" applyFill="1" applyBorder="1" applyProtection="1"/>
    <xf numFmtId="0" fontId="20" fillId="18" borderId="12" xfId="0" applyFont="1" applyFill="1" applyBorder="1" applyProtection="1"/>
    <xf numFmtId="0" fontId="20" fillId="18" borderId="0" xfId="0" applyFont="1" applyFill="1" applyBorder="1" applyProtection="1"/>
    <xf numFmtId="0" fontId="20" fillId="19" borderId="13" xfId="0" applyFont="1" applyFill="1" applyBorder="1" applyProtection="1">
      <protection locked="0"/>
    </xf>
    <xf numFmtId="0" fontId="20" fillId="19" borderId="14" xfId="0" applyFont="1" applyFill="1" applyBorder="1" applyProtection="1">
      <protection locked="0"/>
    </xf>
    <xf numFmtId="0" fontId="20" fillId="19" borderId="15" xfId="0" applyFont="1" applyFill="1" applyBorder="1" applyProtection="1">
      <protection locked="0"/>
    </xf>
    <xf numFmtId="0" fontId="20" fillId="19" borderId="16" xfId="0" applyFont="1" applyFill="1" applyBorder="1" applyProtection="1">
      <protection locked="0"/>
    </xf>
    <xf numFmtId="0" fontId="20" fillId="18" borderId="17" xfId="0" applyFont="1" applyFill="1" applyBorder="1" applyProtection="1"/>
    <xf numFmtId="0" fontId="20" fillId="19" borderId="18" xfId="0" applyFont="1" applyFill="1" applyBorder="1" applyProtection="1">
      <protection locked="0"/>
    </xf>
    <xf numFmtId="0" fontId="20" fillId="19" borderId="19" xfId="0" applyFont="1" applyFill="1" applyBorder="1" applyProtection="1">
      <protection locked="0"/>
    </xf>
    <xf numFmtId="0" fontId="21" fillId="18" borderId="0" xfId="0" applyFont="1" applyFill="1" applyBorder="1" applyProtection="1"/>
    <xf numFmtId="0" fontId="20" fillId="0" borderId="0" xfId="0" applyFont="1" applyProtection="1"/>
    <xf numFmtId="0" fontId="20" fillId="0" borderId="0" xfId="0" applyFont="1" applyBorder="1" applyProtection="1"/>
    <xf numFmtId="0" fontId="20" fillId="0" borderId="20" xfId="0" applyFont="1" applyBorder="1" applyProtection="1"/>
    <xf numFmtId="0" fontId="20" fillId="19" borderId="22" xfId="0" applyFont="1" applyFill="1" applyBorder="1" applyProtection="1">
      <protection locked="0"/>
    </xf>
    <xf numFmtId="0" fontId="20" fillId="18" borderId="20" xfId="0" applyFont="1" applyFill="1" applyBorder="1" applyProtection="1"/>
    <xf numFmtId="0" fontId="20" fillId="18" borderId="0" xfId="0" applyFont="1" applyFill="1" applyBorder="1" applyAlignment="1" applyProtection="1">
      <alignment horizontal="center"/>
    </xf>
    <xf numFmtId="0" fontId="22" fillId="18" borderId="0" xfId="0" applyFont="1" applyFill="1" applyProtection="1"/>
    <xf numFmtId="0" fontId="22" fillId="18" borderId="0" xfId="0" applyFont="1" applyFill="1" applyBorder="1" applyProtection="1"/>
    <xf numFmtId="0" fontId="0" fillId="18" borderId="0" xfId="0" applyFill="1"/>
    <xf numFmtId="0" fontId="0" fillId="18" borderId="0" xfId="0" applyFill="1" applyProtection="1"/>
    <xf numFmtId="0" fontId="0" fillId="0" borderId="0" xfId="0" applyProtection="1"/>
    <xf numFmtId="0" fontId="0" fillId="18" borderId="0" xfId="0" applyFill="1" applyBorder="1" applyProtection="1"/>
    <xf numFmtId="0" fontId="0" fillId="19" borderId="11" xfId="0" applyFill="1" applyBorder="1" applyProtection="1">
      <protection locked="0"/>
    </xf>
    <xf numFmtId="0" fontId="0" fillId="19" borderId="13" xfId="0" applyFill="1" applyBorder="1" applyProtection="1">
      <protection locked="0"/>
    </xf>
    <xf numFmtId="0" fontId="0" fillId="0" borderId="0" xfId="0" applyBorder="1" applyProtection="1"/>
    <xf numFmtId="0" fontId="0" fillId="19" borderId="19" xfId="0" applyFill="1" applyBorder="1" applyProtection="1">
      <protection locked="0"/>
    </xf>
    <xf numFmtId="0" fontId="0" fillId="18" borderId="0" xfId="0" applyFill="1" applyBorder="1"/>
    <xf numFmtId="165" fontId="20" fillId="19" borderId="13" xfId="45" applyFont="1" applyFill="1" applyBorder="1" applyProtection="1">
      <protection locked="0"/>
    </xf>
    <xf numFmtId="165" fontId="20" fillId="19" borderId="23" xfId="45" applyFont="1" applyFill="1" applyBorder="1" applyProtection="1">
      <protection locked="0"/>
    </xf>
    <xf numFmtId="3" fontId="21" fillId="18" borderId="0" xfId="0" applyNumberFormat="1" applyFont="1" applyFill="1" applyBorder="1" applyProtection="1"/>
    <xf numFmtId="0" fontId="20" fillId="18" borderId="0" xfId="0" applyFont="1" applyFill="1" applyBorder="1" applyAlignment="1" applyProtection="1">
      <alignment wrapText="1"/>
    </xf>
    <xf numFmtId="0" fontId="22" fillId="18" borderId="0" xfId="0" applyFont="1" applyFill="1" applyBorder="1" applyAlignment="1" applyProtection="1">
      <alignment wrapText="1"/>
    </xf>
    <xf numFmtId="0" fontId="20" fillId="19" borderId="11" xfId="0" applyFont="1" applyFill="1" applyBorder="1" applyAlignment="1" applyProtection="1">
      <alignment horizontal="center"/>
      <protection locked="0"/>
    </xf>
    <xf numFmtId="0" fontId="20" fillId="19" borderId="13" xfId="0" applyFont="1" applyFill="1" applyBorder="1" applyAlignment="1" applyProtection="1">
      <alignment horizontal="center"/>
      <protection locked="0"/>
    </xf>
    <xf numFmtId="0" fontId="20" fillId="19" borderId="23" xfId="0" applyFont="1" applyFill="1" applyBorder="1" applyAlignment="1" applyProtection="1">
      <alignment horizontal="center"/>
      <protection locked="0"/>
    </xf>
    <xf numFmtId="0" fontId="21" fillId="18" borderId="0" xfId="0" applyFont="1" applyFill="1" applyBorder="1" applyAlignment="1" applyProtection="1">
      <alignment horizontal="center"/>
    </xf>
    <xf numFmtId="169" fontId="20" fillId="18" borderId="0" xfId="45" applyNumberFormat="1" applyFont="1" applyFill="1" applyBorder="1" applyProtection="1"/>
    <xf numFmtId="0" fontId="20" fillId="0" borderId="0" xfId="0" applyFont="1" applyFill="1" applyBorder="1" applyProtection="1"/>
    <xf numFmtId="0" fontId="21" fillId="20" borderId="13" xfId="0" applyFont="1" applyFill="1" applyBorder="1" applyAlignment="1" applyProtection="1">
      <alignment horizontal="center"/>
    </xf>
    <xf numFmtId="0" fontId="21" fillId="20" borderId="13" xfId="0" applyFont="1" applyFill="1" applyBorder="1" applyProtection="1"/>
    <xf numFmtId="165" fontId="21" fillId="21" borderId="25" xfId="45" applyFont="1" applyFill="1" applyBorder="1" applyProtection="1"/>
    <xf numFmtId="0" fontId="20" fillId="18" borderId="0" xfId="0" applyFont="1" applyFill="1" applyAlignment="1" applyProtection="1">
      <alignment horizontal="left"/>
    </xf>
    <xf numFmtId="0" fontId="21" fillId="20" borderId="11" xfId="0" applyFont="1" applyFill="1" applyBorder="1" applyAlignment="1" applyProtection="1">
      <alignment wrapText="1"/>
    </xf>
    <xf numFmtId="0" fontId="21" fillId="20" borderId="11" xfId="0" applyFont="1" applyFill="1" applyBorder="1" applyProtection="1"/>
    <xf numFmtId="0" fontId="21" fillId="20" borderId="26" xfId="0" applyFont="1" applyFill="1" applyBorder="1" applyProtection="1"/>
    <xf numFmtId="0" fontId="21" fillId="20" borderId="27" xfId="0" applyFont="1" applyFill="1" applyBorder="1" applyProtection="1"/>
    <xf numFmtId="165" fontId="21" fillId="20" borderId="11" xfId="45" applyFont="1" applyFill="1" applyBorder="1" applyProtection="1"/>
    <xf numFmtId="165" fontId="21" fillId="20" borderId="13" xfId="45" applyFont="1" applyFill="1" applyBorder="1" applyProtection="1"/>
    <xf numFmtId="165" fontId="21" fillId="21" borderId="28" xfId="45" applyFont="1" applyFill="1" applyBorder="1" applyProtection="1"/>
    <xf numFmtId="165" fontId="20" fillId="18" borderId="0" xfId="45" applyFont="1" applyFill="1" applyBorder="1" applyProtection="1"/>
    <xf numFmtId="165" fontId="20" fillId="18" borderId="0" xfId="0" applyNumberFormat="1" applyFont="1" applyFill="1" applyBorder="1" applyProtection="1"/>
    <xf numFmtId="0" fontId="20" fillId="21" borderId="24" xfId="0" applyFont="1" applyFill="1" applyBorder="1" applyProtection="1"/>
    <xf numFmtId="0" fontId="23" fillId="18" borderId="0" xfId="0" applyFont="1" applyFill="1" applyBorder="1" applyProtection="1"/>
    <xf numFmtId="165" fontId="20" fillId="19" borderId="30" xfId="45" applyFont="1" applyFill="1" applyBorder="1" applyProtection="1">
      <protection locked="0"/>
    </xf>
    <xf numFmtId="0" fontId="22" fillId="19" borderId="13" xfId="0" applyFont="1" applyFill="1" applyBorder="1" applyProtection="1">
      <protection locked="0"/>
    </xf>
    <xf numFmtId="0" fontId="0" fillId="18" borderId="10" xfId="0" applyFill="1" applyBorder="1"/>
    <xf numFmtId="0" fontId="0" fillId="18" borderId="12" xfId="0" applyFill="1" applyBorder="1"/>
    <xf numFmtId="165" fontId="0" fillId="0" borderId="0" xfId="0" applyNumberFormat="1"/>
    <xf numFmtId="165" fontId="20" fillId="19" borderId="13" xfId="45" applyFont="1" applyFill="1" applyBorder="1" applyAlignment="1" applyProtection="1">
      <alignment horizontal="center"/>
      <protection locked="0"/>
    </xf>
    <xf numFmtId="0" fontId="23" fillId="19" borderId="13" xfId="0" applyFont="1" applyFill="1" applyBorder="1" applyAlignment="1" applyProtection="1">
      <alignment horizontal="center"/>
      <protection locked="0"/>
    </xf>
    <xf numFmtId="0" fontId="20" fillId="0" borderId="17" xfId="0" applyFont="1" applyBorder="1" applyProtection="1"/>
    <xf numFmtId="0" fontId="20" fillId="20" borderId="15" xfId="0" applyFont="1" applyFill="1" applyBorder="1" applyProtection="1"/>
    <xf numFmtId="0" fontId="23" fillId="19" borderId="13" xfId="0" applyFont="1" applyFill="1" applyBorder="1" applyProtection="1">
      <protection locked="0"/>
    </xf>
    <xf numFmtId="165" fontId="20" fillId="19" borderId="13" xfId="45" applyFont="1" applyFill="1" applyBorder="1" applyAlignment="1" applyProtection="1">
      <alignment horizontal="justify"/>
      <protection locked="0"/>
    </xf>
    <xf numFmtId="0" fontId="23" fillId="19" borderId="11" xfId="0" applyFont="1" applyFill="1" applyBorder="1" applyAlignment="1" applyProtection="1">
      <alignment horizontal="center"/>
      <protection locked="0"/>
    </xf>
    <xf numFmtId="0" fontId="25" fillId="18" borderId="0" xfId="0" applyFont="1" applyFill="1" applyBorder="1" applyProtection="1"/>
    <xf numFmtId="0" fontId="0" fillId="18" borderId="0" xfId="0" applyFill="1" applyBorder="1" applyProtection="1">
      <protection locked="0"/>
    </xf>
    <xf numFmtId="0" fontId="0" fillId="0" borderId="10" xfId="0" applyBorder="1" applyProtection="1"/>
    <xf numFmtId="0" fontId="21" fillId="22" borderId="31" xfId="0" applyFont="1" applyFill="1" applyBorder="1" applyAlignment="1" applyProtection="1">
      <alignment horizontal="center" wrapText="1"/>
    </xf>
    <xf numFmtId="0" fontId="21" fillId="22" borderId="32" xfId="0" applyFont="1" applyFill="1" applyBorder="1" applyAlignment="1" applyProtection="1">
      <alignment horizontal="center" wrapText="1"/>
    </xf>
    <xf numFmtId="0" fontId="20" fillId="22" borderId="27" xfId="0" applyFont="1" applyFill="1" applyBorder="1" applyProtection="1"/>
    <xf numFmtId="0" fontId="21" fillId="22" borderId="33" xfId="0" applyFont="1" applyFill="1" applyBorder="1" applyAlignment="1" applyProtection="1">
      <alignment horizontal="center" wrapText="1"/>
    </xf>
    <xf numFmtId="0" fontId="20" fillId="19" borderId="27" xfId="0" applyFont="1" applyFill="1" applyBorder="1" applyProtection="1">
      <protection locked="0"/>
    </xf>
    <xf numFmtId="3" fontId="20" fillId="19" borderId="13" xfId="0" applyNumberFormat="1" applyFont="1" applyFill="1" applyBorder="1" applyAlignment="1" applyProtection="1">
      <alignment horizontal="center"/>
      <protection locked="0"/>
    </xf>
    <xf numFmtId="165" fontId="20" fillId="23" borderId="30" xfId="45" applyFont="1" applyFill="1" applyBorder="1" applyAlignment="1" applyProtection="1">
      <alignment horizontal="center" vertical="center"/>
    </xf>
    <xf numFmtId="3" fontId="20" fillId="19" borderId="23" xfId="0" applyNumberFormat="1" applyFont="1" applyFill="1" applyBorder="1" applyAlignment="1" applyProtection="1">
      <alignment horizontal="center"/>
      <protection locked="0"/>
    </xf>
    <xf numFmtId="165" fontId="20" fillId="23" borderId="34" xfId="45" applyFont="1" applyFill="1" applyBorder="1" applyAlignment="1" applyProtection="1">
      <alignment horizontal="center" vertical="center"/>
    </xf>
    <xf numFmtId="165" fontId="21" fillId="21" borderId="35" xfId="45" applyFont="1" applyFill="1" applyBorder="1" applyAlignment="1" applyProtection="1">
      <alignment horizontal="center" vertical="center"/>
    </xf>
    <xf numFmtId="165" fontId="20" fillId="19" borderId="14" xfId="45" applyFont="1" applyFill="1" applyBorder="1" applyProtection="1">
      <protection locked="0"/>
    </xf>
    <xf numFmtId="0" fontId="22" fillId="0" borderId="0" xfId="0" applyFont="1" applyFill="1" applyBorder="1" applyProtection="1"/>
    <xf numFmtId="0" fontId="20" fillId="20" borderId="21" xfId="0" applyFont="1" applyFill="1" applyBorder="1" applyProtection="1"/>
    <xf numFmtId="0" fontId="20" fillId="20" borderId="16" xfId="0" applyFont="1" applyFill="1" applyBorder="1" applyProtection="1"/>
    <xf numFmtId="0" fontId="20" fillId="19" borderId="15" xfId="0" applyFont="1" applyFill="1" applyBorder="1" applyAlignment="1" applyProtection="1">
      <alignment horizontal="center"/>
      <protection locked="0"/>
    </xf>
    <xf numFmtId="0" fontId="20" fillId="20" borderId="36" xfId="0" applyFont="1" applyFill="1" applyBorder="1" applyProtection="1"/>
    <xf numFmtId="0" fontId="20" fillId="19" borderId="32" xfId="0" applyFont="1" applyFill="1" applyBorder="1" applyAlignment="1" applyProtection="1">
      <alignment horizontal="center"/>
      <protection locked="0"/>
    </xf>
    <xf numFmtId="165" fontId="20" fillId="20" borderId="30" xfId="45" applyFont="1" applyFill="1" applyBorder="1" applyAlignment="1" applyProtection="1">
      <alignment horizontal="center" vertical="center"/>
    </xf>
    <xf numFmtId="165" fontId="20" fillId="20" borderId="34" xfId="45" applyFont="1" applyFill="1" applyBorder="1" applyAlignment="1" applyProtection="1">
      <alignment horizontal="center" vertical="center"/>
    </xf>
    <xf numFmtId="3" fontId="21" fillId="24" borderId="35" xfId="0" applyNumberFormat="1" applyFont="1" applyFill="1" applyBorder="1" applyAlignment="1" applyProtection="1">
      <alignment horizontal="center"/>
    </xf>
    <xf numFmtId="165" fontId="21" fillId="24" borderId="35" xfId="45" applyFont="1" applyFill="1" applyBorder="1" applyAlignment="1" applyProtection="1">
      <alignment horizontal="center" vertical="center"/>
    </xf>
    <xf numFmtId="165" fontId="20" fillId="19" borderId="15" xfId="45" applyFont="1" applyFill="1" applyBorder="1" applyAlignment="1" applyProtection="1">
      <alignment horizontal="center"/>
      <protection locked="0"/>
    </xf>
    <xf numFmtId="165" fontId="20" fillId="20" borderId="37" xfId="45" applyFont="1" applyFill="1" applyBorder="1" applyProtection="1"/>
    <xf numFmtId="165" fontId="20" fillId="20" borderId="30" xfId="45" applyFont="1" applyFill="1" applyBorder="1" applyProtection="1"/>
    <xf numFmtId="165" fontId="20" fillId="20" borderId="38" xfId="45" applyFont="1" applyFill="1" applyBorder="1" applyProtection="1"/>
    <xf numFmtId="165" fontId="21" fillId="18" borderId="0" xfId="0" applyNumberFormat="1" applyFont="1" applyFill="1" applyBorder="1" applyProtection="1"/>
    <xf numFmtId="0" fontId="20" fillId="23" borderId="16" xfId="0" applyFont="1" applyFill="1" applyBorder="1" applyProtection="1"/>
    <xf numFmtId="165" fontId="21" fillId="18" borderId="0" xfId="45" applyFont="1" applyFill="1" applyBorder="1" applyAlignment="1" applyProtection="1">
      <alignment horizontal="center" vertical="center"/>
    </xf>
    <xf numFmtId="3" fontId="21" fillId="21" borderId="35" xfId="0" applyNumberFormat="1" applyFont="1" applyFill="1" applyBorder="1" applyAlignment="1" applyProtection="1">
      <alignment horizontal="center"/>
    </xf>
    <xf numFmtId="165" fontId="20" fillId="23" borderId="37" xfId="45" applyFont="1" applyFill="1" applyBorder="1" applyProtection="1"/>
    <xf numFmtId="165" fontId="20" fillId="23" borderId="30" xfId="45" applyFont="1" applyFill="1" applyBorder="1" applyProtection="1"/>
    <xf numFmtId="165" fontId="20" fillId="23" borderId="38" xfId="45" applyFont="1" applyFill="1" applyBorder="1" applyProtection="1"/>
    <xf numFmtId="165" fontId="22" fillId="21" borderId="35" xfId="0" applyNumberFormat="1" applyFont="1" applyFill="1" applyBorder="1" applyProtection="1"/>
    <xf numFmtId="0" fontId="0" fillId="18" borderId="19" xfId="0" applyFill="1" applyBorder="1"/>
    <xf numFmtId="0" fontId="0" fillId="18" borderId="13" xfId="0" applyFill="1" applyBorder="1"/>
    <xf numFmtId="0" fontId="0" fillId="0" borderId="0" xfId="0" applyBorder="1"/>
    <xf numFmtId="3" fontId="0" fillId="18" borderId="13" xfId="0" applyNumberFormat="1" applyFill="1" applyBorder="1" applyAlignment="1">
      <alignment horizontal="center"/>
    </xf>
    <xf numFmtId="0" fontId="0" fillId="25" borderId="39" xfId="0" applyFill="1" applyBorder="1"/>
    <xf numFmtId="0" fontId="0" fillId="22" borderId="13" xfId="0" applyFill="1" applyBorder="1"/>
    <xf numFmtId="0" fontId="21" fillId="19" borderId="19" xfId="0" applyFont="1" applyFill="1" applyBorder="1" applyAlignment="1" applyProtection="1">
      <protection locked="0"/>
    </xf>
    <xf numFmtId="0" fontId="20" fillId="19" borderId="19" xfId="0" applyFont="1" applyFill="1" applyBorder="1" applyAlignment="1" applyProtection="1">
      <protection locked="0"/>
    </xf>
    <xf numFmtId="0" fontId="21" fillId="19" borderId="21" xfId="0" applyFont="1" applyFill="1" applyBorder="1" applyAlignment="1" applyProtection="1">
      <protection locked="0"/>
    </xf>
    <xf numFmtId="165" fontId="20" fillId="19" borderId="11" xfId="45" applyFont="1" applyFill="1" applyBorder="1" applyAlignment="1" applyProtection="1">
      <alignment horizontal="center"/>
      <protection locked="0"/>
    </xf>
    <xf numFmtId="0" fontId="20" fillId="0" borderId="12" xfId="0" applyFont="1" applyBorder="1" applyProtection="1"/>
    <xf numFmtId="0" fontId="22" fillId="19" borderId="40" xfId="0" applyFont="1" applyFill="1" applyBorder="1" applyProtection="1">
      <protection locked="0"/>
    </xf>
    <xf numFmtId="0" fontId="61" fillId="18" borderId="13" xfId="0" applyFont="1" applyFill="1" applyBorder="1" applyProtection="1"/>
    <xf numFmtId="0" fontId="48" fillId="18" borderId="13" xfId="0" applyFont="1" applyFill="1" applyBorder="1" applyProtection="1"/>
    <xf numFmtId="0" fontId="51" fillId="18" borderId="0" xfId="0" applyFont="1" applyFill="1" applyBorder="1" applyProtection="1"/>
    <xf numFmtId="0" fontId="23" fillId="19" borderId="11" xfId="0" applyFont="1" applyFill="1" applyBorder="1" applyProtection="1">
      <protection locked="0"/>
    </xf>
    <xf numFmtId="0" fontId="23" fillId="19" borderId="23" xfId="0" applyFont="1" applyFill="1" applyBorder="1" applyAlignment="1" applyProtection="1">
      <alignment horizontal="center"/>
      <protection locked="0"/>
    </xf>
    <xf numFmtId="0" fontId="23" fillId="19" borderId="23" xfId="0" applyFont="1" applyFill="1" applyBorder="1" applyProtection="1">
      <protection locked="0"/>
    </xf>
    <xf numFmtId="0" fontId="23" fillId="19" borderId="40" xfId="0" applyFont="1" applyFill="1" applyBorder="1" applyAlignment="1" applyProtection="1">
      <alignment horizontal="center"/>
      <protection locked="0"/>
    </xf>
    <xf numFmtId="0" fontId="23" fillId="19" borderId="40" xfId="0" applyFont="1" applyFill="1" applyBorder="1" applyProtection="1">
      <protection locked="0"/>
    </xf>
    <xf numFmtId="0" fontId="22" fillId="19" borderId="42" xfId="0" applyFont="1" applyFill="1" applyBorder="1" applyProtection="1">
      <protection locked="0"/>
    </xf>
    <xf numFmtId="0" fontId="22" fillId="19" borderId="43" xfId="0" applyFont="1" applyFill="1" applyBorder="1" applyProtection="1">
      <protection locked="0"/>
    </xf>
    <xf numFmtId="0" fontId="0" fillId="19" borderId="40" xfId="0" applyFill="1" applyBorder="1" applyProtection="1">
      <protection locked="0"/>
    </xf>
    <xf numFmtId="165" fontId="21" fillId="18" borderId="0" xfId="45" applyFont="1" applyFill="1" applyBorder="1" applyProtection="1"/>
    <xf numFmtId="0" fontId="22" fillId="21" borderId="13" xfId="0" applyFont="1" applyFill="1" applyBorder="1" applyAlignment="1" applyProtection="1">
      <alignment horizontal="center"/>
    </xf>
    <xf numFmtId="0" fontId="22" fillId="18" borderId="0" xfId="0" applyFont="1" applyFill="1" applyBorder="1" applyAlignment="1" applyProtection="1">
      <alignment horizontal="center"/>
    </xf>
    <xf numFmtId="0" fontId="48" fillId="0" borderId="13" xfId="0" applyFont="1" applyFill="1" applyBorder="1" applyProtection="1"/>
    <xf numFmtId="0" fontId="22" fillId="24" borderId="13" xfId="0" applyFont="1" applyFill="1" applyBorder="1" applyAlignment="1" applyProtection="1">
      <alignment horizontal="center"/>
    </xf>
    <xf numFmtId="0" fontId="22" fillId="0" borderId="13" xfId="0" applyFont="1" applyFill="1" applyBorder="1" applyAlignment="1" applyProtection="1">
      <alignment horizontal="center" vertical="center" wrapText="1"/>
    </xf>
    <xf numFmtId="0" fontId="21" fillId="0" borderId="13" xfId="0" applyFont="1" applyFill="1" applyBorder="1" applyAlignment="1" applyProtection="1">
      <alignment wrapText="1"/>
    </xf>
    <xf numFmtId="165" fontId="21" fillId="24" borderId="13" xfId="0" applyNumberFormat="1" applyFont="1" applyFill="1" applyBorder="1" applyProtection="1"/>
    <xf numFmtId="165" fontId="20" fillId="18" borderId="13" xfId="0" applyNumberFormat="1" applyFont="1" applyFill="1" applyBorder="1" applyProtection="1"/>
    <xf numFmtId="0" fontId="26" fillId="20" borderId="11" xfId="0" applyFont="1" applyFill="1" applyBorder="1" applyProtection="1"/>
    <xf numFmtId="0" fontId="26" fillId="20" borderId="42" xfId="0" applyFont="1" applyFill="1" applyBorder="1" applyAlignment="1" applyProtection="1">
      <alignment wrapText="1"/>
    </xf>
    <xf numFmtId="0" fontId="25" fillId="0" borderId="13" xfId="0" applyFont="1" applyFill="1" applyBorder="1" applyAlignment="1" applyProtection="1">
      <alignment wrapText="1"/>
    </xf>
    <xf numFmtId="165" fontId="20" fillId="18" borderId="27" xfId="0" applyNumberFormat="1" applyFont="1" applyFill="1" applyBorder="1" applyProtection="1"/>
    <xf numFmtId="165" fontId="20" fillId="18" borderId="23" xfId="0" applyNumberFormat="1" applyFont="1" applyFill="1" applyBorder="1" applyProtection="1"/>
    <xf numFmtId="165" fontId="21" fillId="21" borderId="44" xfId="0" applyNumberFormat="1" applyFont="1" applyFill="1" applyBorder="1" applyProtection="1"/>
    <xf numFmtId="2" fontId="20" fillId="18" borderId="0" xfId="0" applyNumberFormat="1" applyFont="1" applyFill="1" applyBorder="1" applyProtection="1"/>
    <xf numFmtId="0" fontId="21" fillId="21" borderId="25" xfId="0" applyFont="1" applyFill="1" applyBorder="1" applyProtection="1"/>
    <xf numFmtId="169" fontId="21" fillId="18" borderId="0" xfId="45" applyNumberFormat="1" applyFont="1" applyFill="1" applyBorder="1" applyAlignment="1" applyProtection="1">
      <alignment horizontal="center"/>
    </xf>
    <xf numFmtId="165" fontId="20" fillId="18" borderId="0" xfId="45" applyFont="1" applyFill="1" applyBorder="1" applyAlignment="1" applyProtection="1">
      <alignment horizontal="center"/>
    </xf>
    <xf numFmtId="0" fontId="29" fillId="18" borderId="0" xfId="0" applyFont="1" applyFill="1" applyBorder="1" applyAlignment="1" applyProtection="1">
      <alignment horizontal="center"/>
    </xf>
    <xf numFmtId="43" fontId="20" fillId="18" borderId="0" xfId="0" applyNumberFormat="1" applyFont="1" applyFill="1" applyBorder="1" applyProtection="1"/>
    <xf numFmtId="0" fontId="21" fillId="20" borderId="20" xfId="0" applyFont="1" applyFill="1" applyBorder="1" applyAlignment="1" applyProtection="1">
      <alignment wrapText="1"/>
    </xf>
    <xf numFmtId="0" fontId="25" fillId="20" borderId="13" xfId="0" applyFont="1" applyFill="1" applyBorder="1" applyAlignment="1" applyProtection="1">
      <alignment wrapText="1"/>
    </xf>
    <xf numFmtId="0" fontId="22" fillId="0" borderId="27" xfId="0" applyFont="1" applyFill="1" applyBorder="1" applyAlignment="1" applyProtection="1">
      <alignment horizontal="center" vertical="center" wrapText="1"/>
    </xf>
    <xf numFmtId="169" fontId="21" fillId="21" borderId="35" xfId="0" applyNumberFormat="1" applyFont="1" applyFill="1" applyBorder="1" applyProtection="1"/>
    <xf numFmtId="0" fontId="20" fillId="21" borderId="39" xfId="0" applyFont="1" applyFill="1" applyBorder="1" applyProtection="1"/>
    <xf numFmtId="0" fontId="20" fillId="21" borderId="28" xfId="0" applyFont="1" applyFill="1" applyBorder="1" applyProtection="1"/>
    <xf numFmtId="0" fontId="20" fillId="21" borderId="25" xfId="0" applyFont="1" applyFill="1" applyBorder="1" applyProtection="1"/>
    <xf numFmtId="165" fontId="21" fillId="21" borderId="45" xfId="0" applyNumberFormat="1" applyFont="1" applyFill="1" applyBorder="1" applyProtection="1"/>
    <xf numFmtId="165" fontId="20" fillId="20" borderId="30" xfId="45" applyFont="1" applyFill="1" applyBorder="1" applyAlignment="1" applyProtection="1">
      <alignment horizontal="center"/>
    </xf>
    <xf numFmtId="0" fontId="26" fillId="20" borderId="46" xfId="0" applyFont="1" applyFill="1" applyBorder="1" applyAlignment="1" applyProtection="1">
      <alignment wrapText="1"/>
    </xf>
    <xf numFmtId="165" fontId="21" fillId="21" borderId="47" xfId="0" applyNumberFormat="1" applyFont="1" applyFill="1" applyBorder="1" applyProtection="1"/>
    <xf numFmtId="165" fontId="21" fillId="21" borderId="28" xfId="0" applyNumberFormat="1" applyFont="1" applyFill="1" applyBorder="1" applyProtection="1"/>
    <xf numFmtId="165" fontId="21" fillId="21" borderId="48" xfId="0" applyNumberFormat="1" applyFont="1" applyFill="1" applyBorder="1" applyProtection="1"/>
    <xf numFmtId="0" fontId="20" fillId="20" borderId="49" xfId="0" applyFont="1" applyFill="1" applyBorder="1" applyProtection="1"/>
    <xf numFmtId="0" fontId="20" fillId="20" borderId="50" xfId="0" applyFont="1" applyFill="1" applyBorder="1" applyProtection="1"/>
    <xf numFmtId="165" fontId="20" fillId="21" borderId="35" xfId="0" applyNumberFormat="1" applyFont="1" applyFill="1" applyBorder="1" applyProtection="1"/>
    <xf numFmtId="165" fontId="21" fillId="18" borderId="51" xfId="0" applyNumberFormat="1" applyFont="1" applyFill="1" applyBorder="1" applyProtection="1"/>
    <xf numFmtId="165" fontId="63" fillId="18" borderId="0" xfId="45" applyFont="1" applyFill="1" applyBorder="1" applyAlignment="1" applyProtection="1">
      <alignment horizontal="center" vertical="center"/>
    </xf>
    <xf numFmtId="0" fontId="20" fillId="19" borderId="52" xfId="0" applyFont="1" applyFill="1" applyBorder="1" applyAlignment="1" applyProtection="1">
      <alignment horizontal="center"/>
      <protection locked="0"/>
    </xf>
    <xf numFmtId="0" fontId="20" fillId="19" borderId="53" xfId="0" applyFont="1" applyFill="1" applyBorder="1" applyAlignment="1" applyProtection="1">
      <alignment horizontal="center"/>
      <protection locked="0"/>
    </xf>
    <xf numFmtId="165" fontId="20" fillId="21" borderId="54" xfId="0" applyNumberFormat="1" applyFont="1" applyFill="1" applyBorder="1" applyProtection="1"/>
    <xf numFmtId="0" fontId="20" fillId="0" borderId="55" xfId="0" applyFont="1" applyFill="1" applyBorder="1" applyProtection="1"/>
    <xf numFmtId="0" fontId="20" fillId="0" borderId="17" xfId="0" applyFont="1" applyFill="1" applyBorder="1" applyAlignment="1" applyProtection="1">
      <alignment horizontal="center"/>
    </xf>
    <xf numFmtId="0" fontId="20" fillId="0" borderId="0" xfId="0" applyFont="1" applyFill="1" applyProtection="1"/>
    <xf numFmtId="0" fontId="21" fillId="20" borderId="24" xfId="0" applyFont="1" applyFill="1" applyBorder="1" applyAlignment="1" applyProtection="1">
      <alignment horizontal="justify"/>
    </xf>
    <xf numFmtId="0" fontId="20" fillId="21" borderId="39" xfId="0" applyFont="1" applyFill="1" applyBorder="1" applyAlignment="1" applyProtection="1">
      <alignment horizontal="center"/>
    </xf>
    <xf numFmtId="0" fontId="0" fillId="0" borderId="12" xfId="0" applyBorder="1" applyProtection="1"/>
    <xf numFmtId="0" fontId="20" fillId="20" borderId="15" xfId="0" applyFont="1" applyFill="1" applyBorder="1" applyAlignment="1" applyProtection="1">
      <alignment horizontal="justify"/>
    </xf>
    <xf numFmtId="0" fontId="20" fillId="21" borderId="17" xfId="0" applyFont="1" applyFill="1" applyBorder="1" applyProtection="1"/>
    <xf numFmtId="1" fontId="0" fillId="0" borderId="0" xfId="0" applyNumberFormat="1" applyBorder="1" applyProtection="1"/>
    <xf numFmtId="0" fontId="21" fillId="18" borderId="10" xfId="0" applyFont="1" applyFill="1" applyBorder="1" applyAlignment="1" applyProtection="1">
      <alignment horizontal="center" vertical="center"/>
    </xf>
    <xf numFmtId="0" fontId="21" fillId="20" borderId="31" xfId="0" applyFont="1" applyFill="1" applyBorder="1" applyAlignment="1" applyProtection="1">
      <alignment horizontal="center" wrapText="1"/>
    </xf>
    <xf numFmtId="0" fontId="21" fillId="20" borderId="32" xfId="0" applyFont="1" applyFill="1" applyBorder="1" applyAlignment="1" applyProtection="1">
      <alignment horizontal="center" wrapText="1"/>
    </xf>
    <xf numFmtId="0" fontId="21" fillId="20" borderId="33" xfId="0" applyFont="1" applyFill="1" applyBorder="1" applyAlignment="1" applyProtection="1">
      <alignment horizontal="center" wrapText="1"/>
    </xf>
    <xf numFmtId="3" fontId="21" fillId="18" borderId="0" xfId="0" applyNumberFormat="1" applyFont="1" applyFill="1" applyBorder="1" applyAlignment="1" applyProtection="1">
      <alignment horizontal="center"/>
    </xf>
    <xf numFmtId="0" fontId="28" fillId="18" borderId="0" xfId="0" applyFont="1" applyFill="1" applyBorder="1" applyProtection="1"/>
    <xf numFmtId="0" fontId="20" fillId="20" borderId="36" xfId="0" applyFont="1" applyFill="1" applyBorder="1" applyAlignment="1" applyProtection="1">
      <alignment horizontal="justify"/>
    </xf>
    <xf numFmtId="0" fontId="20" fillId="20" borderId="44" xfId="0" applyFont="1" applyFill="1" applyBorder="1" applyAlignment="1" applyProtection="1">
      <alignment horizontal="justify"/>
    </xf>
    <xf numFmtId="0" fontId="20" fillId="20" borderId="31" xfId="0" applyFont="1" applyFill="1" applyBorder="1" applyAlignment="1" applyProtection="1">
      <alignment horizontal="justify"/>
    </xf>
    <xf numFmtId="0" fontId="59" fillId="18" borderId="0" xfId="0" applyFont="1" applyFill="1" applyBorder="1"/>
    <xf numFmtId="0" fontId="59" fillId="0" borderId="0" xfId="0" applyFont="1"/>
    <xf numFmtId="0" fontId="0" fillId="22" borderId="11" xfId="0" applyFill="1" applyBorder="1"/>
    <xf numFmtId="0" fontId="0" fillId="22" borderId="26" xfId="0" applyFill="1" applyBorder="1"/>
    <xf numFmtId="0" fontId="0" fillId="22" borderId="30" xfId="0" applyFill="1" applyBorder="1"/>
    <xf numFmtId="0" fontId="0" fillId="22" borderId="14" xfId="0" applyFill="1" applyBorder="1"/>
    <xf numFmtId="0" fontId="0" fillId="22" borderId="38" xfId="0" applyFill="1" applyBorder="1"/>
    <xf numFmtId="0" fontId="0" fillId="22" borderId="27" xfId="0" applyFill="1" applyBorder="1"/>
    <xf numFmtId="0" fontId="0" fillId="22" borderId="56" xfId="0" applyFill="1" applyBorder="1"/>
    <xf numFmtId="0" fontId="0" fillId="22" borderId="23" xfId="0" applyFill="1" applyBorder="1"/>
    <xf numFmtId="0" fontId="26" fillId="22" borderId="38" xfId="0" applyFont="1" applyFill="1" applyBorder="1"/>
    <xf numFmtId="0" fontId="71" fillId="22" borderId="30" xfId="0" applyFont="1" applyFill="1" applyBorder="1"/>
    <xf numFmtId="0" fontId="20" fillId="19" borderId="54" xfId="0" applyFont="1" applyFill="1" applyBorder="1" applyAlignment="1" applyProtection="1">
      <alignment horizontal="center"/>
      <protection locked="0"/>
    </xf>
    <xf numFmtId="0" fontId="20" fillId="19" borderId="20" xfId="0" applyFont="1" applyFill="1" applyBorder="1" applyAlignment="1" applyProtection="1">
      <alignment horizontal="center"/>
      <protection locked="0"/>
    </xf>
    <xf numFmtId="165" fontId="0" fillId="26" borderId="13" xfId="45" applyFont="1" applyFill="1" applyBorder="1"/>
    <xf numFmtId="0" fontId="0" fillId="20" borderId="13" xfId="0" applyFill="1" applyBorder="1"/>
    <xf numFmtId="0" fontId="0" fillId="27" borderId="13" xfId="0" applyFill="1" applyBorder="1"/>
    <xf numFmtId="0" fontId="72" fillId="0" borderId="0" xfId="0" applyFont="1"/>
    <xf numFmtId="0" fontId="0" fillId="0" borderId="0" xfId="0" applyFill="1" applyBorder="1"/>
    <xf numFmtId="0" fontId="0" fillId="0" borderId="0" xfId="0" applyFill="1"/>
    <xf numFmtId="165" fontId="0" fillId="0" borderId="0" xfId="45" applyFont="1" applyFill="1" applyBorder="1"/>
    <xf numFmtId="43" fontId="0" fillId="0" borderId="0" xfId="0" applyNumberFormat="1" applyFill="1" applyBorder="1"/>
    <xf numFmtId="165" fontId="0" fillId="0" borderId="0" xfId="0" applyNumberFormat="1" applyFill="1" applyBorder="1"/>
    <xf numFmtId="0" fontId="0" fillId="21" borderId="0" xfId="0" applyFill="1" applyBorder="1"/>
    <xf numFmtId="165" fontId="0" fillId="19" borderId="23" xfId="45" applyFont="1" applyFill="1" applyBorder="1"/>
    <xf numFmtId="0" fontId="29" fillId="24" borderId="13" xfId="0" applyFont="1" applyFill="1" applyBorder="1"/>
    <xf numFmtId="165" fontId="0" fillId="24" borderId="23" xfId="45" applyFont="1" applyFill="1" applyBorder="1"/>
    <xf numFmtId="165" fontId="26" fillId="24" borderId="13" xfId="45" applyFont="1" applyFill="1" applyBorder="1"/>
    <xf numFmtId="0" fontId="29" fillId="25" borderId="40" xfId="0" applyFont="1" applyFill="1" applyBorder="1"/>
    <xf numFmtId="0" fontId="0" fillId="25" borderId="57" xfId="0" applyFill="1" applyBorder="1"/>
    <xf numFmtId="0" fontId="0" fillId="25" borderId="29" xfId="0" applyFill="1" applyBorder="1"/>
    <xf numFmtId="165" fontId="0" fillId="25" borderId="27" xfId="45" applyFont="1" applyFill="1" applyBorder="1"/>
    <xf numFmtId="0" fontId="29" fillId="26" borderId="13" xfId="0" applyFont="1" applyFill="1" applyBorder="1"/>
    <xf numFmtId="0" fontId="0" fillId="26" borderId="11" xfId="0" applyFill="1" applyBorder="1"/>
    <xf numFmtId="165" fontId="0" fillId="19" borderId="11" xfId="45" applyFont="1" applyFill="1" applyBorder="1"/>
    <xf numFmtId="43" fontId="59" fillId="0" borderId="0" xfId="0" applyNumberFormat="1" applyFont="1" applyFill="1" applyBorder="1"/>
    <xf numFmtId="0" fontId="59" fillId="0" borderId="0" xfId="0" applyFont="1" applyFill="1"/>
    <xf numFmtId="0" fontId="11" fillId="18" borderId="0" xfId="0" applyFont="1" applyFill="1"/>
    <xf numFmtId="0" fontId="11" fillId="18" borderId="13" xfId="0" applyFont="1" applyFill="1" applyBorder="1"/>
    <xf numFmtId="165" fontId="11" fillId="18" borderId="13" xfId="45" applyFont="1" applyFill="1" applyBorder="1"/>
    <xf numFmtId="165" fontId="2" fillId="18" borderId="13" xfId="45" applyFont="1" applyFill="1" applyBorder="1"/>
    <xf numFmtId="0" fontId="11" fillId="18" borderId="0" xfId="0" applyFont="1" applyFill="1" applyBorder="1"/>
    <xf numFmtId="0" fontId="11" fillId="18" borderId="12" xfId="0" applyFont="1" applyFill="1" applyBorder="1"/>
    <xf numFmtId="0" fontId="0" fillId="18" borderId="18" xfId="0" applyFill="1" applyBorder="1"/>
    <xf numFmtId="0" fontId="0" fillId="18" borderId="18" xfId="0" applyFill="1" applyBorder="1" applyAlignment="1">
      <alignment horizontal="right"/>
    </xf>
    <xf numFmtId="167" fontId="26" fillId="18" borderId="14" xfId="0" applyNumberFormat="1" applyFont="1" applyFill="1" applyBorder="1" applyAlignment="1">
      <alignment horizontal="center"/>
    </xf>
    <xf numFmtId="167" fontId="26" fillId="18" borderId="38" xfId="0" applyNumberFormat="1" applyFont="1" applyFill="1" applyBorder="1" applyAlignment="1">
      <alignment horizontal="center"/>
    </xf>
    <xf numFmtId="167" fontId="26" fillId="18" borderId="0" xfId="0" applyNumberFormat="1" applyFont="1" applyFill="1" applyBorder="1" applyAlignment="1">
      <alignment horizontal="center"/>
    </xf>
    <xf numFmtId="0" fontId="0" fillId="18" borderId="21" xfId="0" applyFill="1" applyBorder="1"/>
    <xf numFmtId="3" fontId="0" fillId="18" borderId="0" xfId="0" applyNumberFormat="1" applyFill="1"/>
    <xf numFmtId="0" fontId="0" fillId="0" borderId="13" xfId="0" applyBorder="1"/>
    <xf numFmtId="165" fontId="20" fillId="19" borderId="58" xfId="45" applyFont="1" applyFill="1" applyBorder="1" applyProtection="1">
      <protection locked="0"/>
    </xf>
    <xf numFmtId="165" fontId="20" fillId="19" borderId="27" xfId="45" applyFont="1" applyFill="1" applyBorder="1" applyProtection="1">
      <protection locked="0"/>
    </xf>
    <xf numFmtId="165" fontId="20" fillId="19" borderId="59" xfId="45" applyFont="1" applyFill="1" applyBorder="1" applyProtection="1">
      <protection locked="0"/>
    </xf>
    <xf numFmtId="165" fontId="11" fillId="18" borderId="0" xfId="45" applyFont="1" applyFill="1"/>
    <xf numFmtId="0" fontId="82" fillId="18" borderId="0" xfId="0" applyFont="1" applyFill="1"/>
    <xf numFmtId="0" fontId="83" fillId="18" borderId="0" xfId="0" applyFont="1" applyFill="1"/>
    <xf numFmtId="0" fontId="83" fillId="0" borderId="0" xfId="0" applyFont="1" applyFill="1"/>
    <xf numFmtId="0" fontId="83" fillId="0" borderId="0" xfId="0" applyFont="1"/>
    <xf numFmtId="0" fontId="83" fillId="18" borderId="0" xfId="0" applyFont="1" applyFill="1" applyBorder="1"/>
    <xf numFmtId="165" fontId="83" fillId="18" borderId="0" xfId="45" applyFont="1" applyFill="1" applyBorder="1"/>
    <xf numFmtId="0" fontId="82" fillId="18" borderId="0" xfId="0" applyFont="1" applyFill="1" applyBorder="1"/>
    <xf numFmtId="0" fontId="83" fillId="18" borderId="39" xfId="0" applyFont="1" applyFill="1" applyBorder="1" applyAlignment="1">
      <alignment horizontal="center"/>
    </xf>
    <xf numFmtId="0" fontId="83" fillId="18" borderId="57" xfId="0" applyFont="1" applyFill="1" applyBorder="1" applyAlignment="1">
      <alignment horizontal="center"/>
    </xf>
    <xf numFmtId="165" fontId="1" fillId="18" borderId="29" xfId="45" applyFont="1" applyFill="1" applyBorder="1" applyAlignment="1">
      <alignment horizontal="center"/>
    </xf>
    <xf numFmtId="0" fontId="11" fillId="18" borderId="29" xfId="0" applyFont="1" applyFill="1" applyBorder="1"/>
    <xf numFmtId="0" fontId="1" fillId="18" borderId="24" xfId="0" applyFont="1" applyFill="1" applyBorder="1" applyAlignment="1">
      <alignment horizontal="center"/>
    </xf>
    <xf numFmtId="0" fontId="1" fillId="18" borderId="31" xfId="0" applyFont="1" applyFill="1" applyBorder="1" applyAlignment="1">
      <alignment horizontal="center"/>
    </xf>
    <xf numFmtId="165" fontId="1" fillId="18" borderId="32" xfId="45" applyFont="1" applyFill="1" applyBorder="1" applyAlignment="1">
      <alignment horizontal="center"/>
    </xf>
    <xf numFmtId="0" fontId="1" fillId="18" borderId="48" xfId="0" applyFont="1" applyFill="1" applyBorder="1" applyAlignment="1">
      <alignment horizontal="center"/>
    </xf>
    <xf numFmtId="0" fontId="83" fillId="18" borderId="10" xfId="0" applyFont="1" applyFill="1" applyBorder="1"/>
    <xf numFmtId="165" fontId="1" fillId="18" borderId="13" xfId="45" applyFont="1" applyFill="1" applyBorder="1" applyAlignment="1">
      <alignment horizontal="center"/>
    </xf>
    <xf numFmtId="9" fontId="1" fillId="18" borderId="60" xfId="35" applyFont="1" applyFill="1" applyBorder="1" applyAlignment="1">
      <alignment horizontal="center"/>
    </xf>
    <xf numFmtId="165" fontId="82" fillId="18" borderId="0" xfId="0" applyNumberFormat="1" applyFont="1" applyFill="1"/>
    <xf numFmtId="165" fontId="83" fillId="18" borderId="0" xfId="0" applyNumberFormat="1" applyFont="1" applyFill="1"/>
    <xf numFmtId="0" fontId="83" fillId="18" borderId="0" xfId="0" applyFont="1" applyFill="1" applyBorder="1" applyAlignment="1">
      <alignment horizontal="right"/>
    </xf>
    <xf numFmtId="165" fontId="2" fillId="18" borderId="13" xfId="45" applyFont="1" applyFill="1" applyBorder="1" applyAlignment="1">
      <alignment horizontal="center"/>
    </xf>
    <xf numFmtId="0" fontId="1" fillId="18" borderId="45" xfId="0" applyFont="1" applyFill="1" applyBorder="1"/>
    <xf numFmtId="0" fontId="1" fillId="18" borderId="0" xfId="0" applyFont="1" applyFill="1" applyBorder="1"/>
    <xf numFmtId="165" fontId="1" fillId="18" borderId="23" xfId="45" applyFont="1" applyFill="1" applyBorder="1" applyAlignment="1">
      <alignment horizontal="center"/>
    </xf>
    <xf numFmtId="0" fontId="83" fillId="18" borderId="13" xfId="0" applyFont="1" applyFill="1" applyBorder="1" applyAlignment="1">
      <alignment horizontal="left" indent="2"/>
    </xf>
    <xf numFmtId="165" fontId="83" fillId="18" borderId="13" xfId="45" applyFont="1" applyFill="1" applyBorder="1" applyAlignment="1">
      <alignment horizontal="center"/>
    </xf>
    <xf numFmtId="173" fontId="1" fillId="18" borderId="13" xfId="35" applyNumberFormat="1" applyFont="1" applyFill="1" applyBorder="1" applyAlignment="1">
      <alignment horizontal="center"/>
    </xf>
    <xf numFmtId="165" fontId="83" fillId="18" borderId="13" xfId="45" applyFont="1" applyFill="1" applyBorder="1" applyAlignment="1">
      <alignment horizontal="left" indent="2"/>
    </xf>
    <xf numFmtId="0" fontId="84" fillId="18" borderId="13" xfId="0" applyFont="1" applyFill="1" applyBorder="1" applyAlignment="1">
      <alignment horizontal="left" indent="2"/>
    </xf>
    <xf numFmtId="165" fontId="84" fillId="18" borderId="13" xfId="45" applyFont="1" applyFill="1" applyBorder="1" applyAlignment="1">
      <alignment horizontal="left" indent="2"/>
    </xf>
    <xf numFmtId="0" fontId="83" fillId="18" borderId="10" xfId="0" applyFont="1" applyFill="1" applyBorder="1" applyAlignment="1">
      <alignment horizontal="right" indent="2"/>
    </xf>
    <xf numFmtId="0" fontId="83" fillId="18" borderId="0" xfId="0" applyFont="1" applyFill="1" applyBorder="1" applyAlignment="1">
      <alignment horizontal="right" indent="2"/>
    </xf>
    <xf numFmtId="165" fontId="1" fillId="18" borderId="13" xfId="45" applyFont="1" applyFill="1" applyBorder="1" applyAlignment="1">
      <alignment horizontal="left" indent="2"/>
    </xf>
    <xf numFmtId="0" fontId="1" fillId="18" borderId="19" xfId="0" applyFont="1" applyFill="1" applyBorder="1"/>
    <xf numFmtId="0" fontId="1" fillId="18" borderId="27" xfId="0" applyFont="1" applyFill="1" applyBorder="1"/>
    <xf numFmtId="0" fontId="83" fillId="18" borderId="10" xfId="0" applyFont="1" applyFill="1" applyBorder="1" applyAlignment="1">
      <alignment horizontal="left" indent="2"/>
    </xf>
    <xf numFmtId="0" fontId="83" fillId="18" borderId="0" xfId="0" applyFont="1" applyFill="1" applyBorder="1" applyAlignment="1">
      <alignment horizontal="left" indent="2"/>
    </xf>
    <xf numFmtId="165" fontId="83" fillId="18" borderId="13" xfId="45" applyFont="1" applyFill="1" applyBorder="1"/>
    <xf numFmtId="0" fontId="1" fillId="18" borderId="61" xfId="0" applyFont="1" applyFill="1" applyBorder="1" applyAlignment="1">
      <alignment horizontal="right"/>
    </xf>
    <xf numFmtId="0" fontId="1" fillId="18" borderId="62" xfId="0" applyFont="1" applyFill="1" applyBorder="1" applyAlignment="1">
      <alignment horizontal="right"/>
    </xf>
    <xf numFmtId="165" fontId="83" fillId="0" borderId="0" xfId="0" applyNumberFormat="1" applyFont="1" applyFill="1"/>
    <xf numFmtId="0" fontId="1" fillId="18" borderId="61" xfId="0" applyFont="1" applyFill="1" applyBorder="1" applyAlignment="1">
      <alignment horizontal="left"/>
    </xf>
    <xf numFmtId="0" fontId="1" fillId="18" borderId="62" xfId="0" applyFont="1" applyFill="1" applyBorder="1" applyAlignment="1">
      <alignment horizontal="left"/>
    </xf>
    <xf numFmtId="9" fontId="1" fillId="18" borderId="13" xfId="35" applyFont="1" applyFill="1" applyBorder="1" applyAlignment="1">
      <alignment horizontal="center"/>
    </xf>
    <xf numFmtId="0" fontId="1" fillId="18" borderId="61" xfId="0" applyFont="1" applyFill="1" applyBorder="1"/>
    <xf numFmtId="0" fontId="1" fillId="18" borderId="62" xfId="0" applyFont="1" applyFill="1" applyBorder="1"/>
    <xf numFmtId="165" fontId="1" fillId="18" borderId="13" xfId="45" applyFont="1" applyFill="1" applyBorder="1"/>
    <xf numFmtId="0" fontId="2" fillId="18" borderId="19" xfId="0" applyFont="1" applyFill="1" applyBorder="1" applyAlignment="1">
      <alignment horizontal="right"/>
    </xf>
    <xf numFmtId="0" fontId="2" fillId="18" borderId="27" xfId="0" applyFont="1" applyFill="1" applyBorder="1" applyAlignment="1">
      <alignment horizontal="right"/>
    </xf>
    <xf numFmtId="3" fontId="2" fillId="18" borderId="13" xfId="45" applyNumberFormat="1" applyFont="1" applyFill="1" applyBorder="1"/>
    <xf numFmtId="0" fontId="2" fillId="18" borderId="22" xfId="0" applyFont="1" applyFill="1" applyBorder="1" applyAlignment="1">
      <alignment horizontal="right"/>
    </xf>
    <xf numFmtId="0" fontId="2" fillId="18" borderId="59" xfId="0" applyFont="1" applyFill="1" applyBorder="1" applyAlignment="1">
      <alignment horizontal="right"/>
    </xf>
    <xf numFmtId="0" fontId="2" fillId="18" borderId="13" xfId="0" applyFont="1" applyFill="1" applyBorder="1" applyAlignment="1">
      <alignment horizontal="right"/>
    </xf>
    <xf numFmtId="0" fontId="83" fillId="18" borderId="20" xfId="0" applyFont="1" applyFill="1" applyBorder="1"/>
    <xf numFmtId="0" fontId="83" fillId="18" borderId="17" xfId="0" applyFont="1" applyFill="1" applyBorder="1"/>
    <xf numFmtId="165" fontId="83" fillId="18" borderId="17" xfId="45" applyFont="1" applyFill="1" applyBorder="1"/>
    <xf numFmtId="0" fontId="83" fillId="18" borderId="51" xfId="0" applyFont="1" applyFill="1" applyBorder="1"/>
    <xf numFmtId="165" fontId="83" fillId="18" borderId="0" xfId="45" applyFont="1" applyFill="1"/>
    <xf numFmtId="0" fontId="11" fillId="18" borderId="63" xfId="0" applyFont="1" applyFill="1" applyBorder="1"/>
    <xf numFmtId="0" fontId="83" fillId="18" borderId="13" xfId="0" applyFont="1" applyFill="1" applyBorder="1"/>
    <xf numFmtId="0" fontId="83" fillId="18" borderId="13" xfId="0" applyFont="1" applyFill="1" applyBorder="1" applyAlignment="1">
      <alignment horizontal="left"/>
    </xf>
    <xf numFmtId="0" fontId="83" fillId="18" borderId="13" xfId="0" applyFont="1" applyFill="1" applyBorder="1" applyAlignment="1">
      <alignment horizontal="right" indent="2"/>
    </xf>
    <xf numFmtId="165" fontId="2" fillId="18" borderId="13" xfId="45" applyFont="1" applyFill="1" applyBorder="1" applyAlignment="1">
      <alignment horizontal="left" indent="2"/>
    </xf>
    <xf numFmtId="43" fontId="82" fillId="18" borderId="0" xfId="0" applyNumberFormat="1" applyFont="1" applyFill="1"/>
    <xf numFmtId="43" fontId="83" fillId="0" borderId="0" xfId="0" applyNumberFormat="1" applyFont="1" applyFill="1"/>
    <xf numFmtId="165" fontId="2" fillId="0" borderId="13" xfId="45" applyFont="1" applyFill="1" applyBorder="1"/>
    <xf numFmtId="165" fontId="1" fillId="0" borderId="13" xfId="45" applyFont="1" applyFill="1" applyBorder="1"/>
    <xf numFmtId="3" fontId="1" fillId="0" borderId="13" xfId="45" applyNumberFormat="1" applyFont="1" applyFill="1" applyBorder="1"/>
    <xf numFmtId="0" fontId="2" fillId="0" borderId="13" xfId="0" applyFont="1" applyFill="1" applyBorder="1" applyAlignment="1">
      <alignment horizontal="right"/>
    </xf>
    <xf numFmtId="0" fontId="1" fillId="0" borderId="45" xfId="0" applyFont="1" applyFill="1" applyBorder="1"/>
    <xf numFmtId="0" fontId="1" fillId="0" borderId="0" xfId="0" applyFont="1" applyFill="1" applyBorder="1"/>
    <xf numFmtId="0" fontId="83" fillId="0" borderId="13" xfId="0" applyFont="1" applyFill="1" applyBorder="1" applyAlignment="1">
      <alignment horizontal="left" indent="2"/>
    </xf>
    <xf numFmtId="3" fontId="1" fillId="18" borderId="13" xfId="45" applyNumberFormat="1" applyFont="1" applyFill="1" applyBorder="1"/>
    <xf numFmtId="0" fontId="83" fillId="18" borderId="13" xfId="0" applyFont="1" applyFill="1" applyBorder="1" applyAlignment="1">
      <alignment wrapText="1"/>
    </xf>
    <xf numFmtId="0" fontId="83" fillId="18" borderId="13" xfId="0" applyFont="1" applyFill="1" applyBorder="1" applyAlignment="1">
      <alignment horizontal="left" wrapText="1"/>
    </xf>
    <xf numFmtId="165" fontId="83" fillId="18" borderId="13" xfId="45" applyFont="1" applyFill="1" applyBorder="1" applyAlignment="1">
      <alignment horizontal="left" wrapText="1"/>
    </xf>
    <xf numFmtId="165" fontId="2" fillId="18" borderId="0" xfId="45" applyFont="1" applyFill="1" applyBorder="1"/>
    <xf numFmtId="165" fontId="83" fillId="0" borderId="13" xfId="45" applyFont="1" applyFill="1" applyBorder="1" applyAlignment="1">
      <alignment horizontal="left" indent="2"/>
    </xf>
    <xf numFmtId="1" fontId="2" fillId="18" borderId="13" xfId="45" applyNumberFormat="1" applyFont="1" applyFill="1" applyBorder="1"/>
    <xf numFmtId="165" fontId="85" fillId="18" borderId="29" xfId="45" applyFont="1" applyFill="1" applyBorder="1" applyAlignment="1">
      <alignment horizontal="center"/>
    </xf>
    <xf numFmtId="0" fontId="86" fillId="18" borderId="63" xfId="0" applyFont="1" applyFill="1" applyBorder="1"/>
    <xf numFmtId="165" fontId="83" fillId="18" borderId="13" xfId="45" applyFont="1" applyFill="1" applyBorder="1" applyAlignment="1">
      <alignment horizontal="right" indent="2"/>
    </xf>
    <xf numFmtId="1" fontId="11" fillId="18" borderId="13" xfId="45" applyNumberFormat="1" applyFont="1" applyFill="1" applyBorder="1"/>
    <xf numFmtId="165" fontId="83" fillId="0" borderId="0" xfId="45" applyFont="1" applyFill="1"/>
    <xf numFmtId="43" fontId="83" fillId="18" borderId="0" xfId="0" applyNumberFormat="1" applyFont="1" applyFill="1"/>
    <xf numFmtId="165" fontId="83" fillId="0" borderId="0" xfId="45" applyFont="1"/>
    <xf numFmtId="0" fontId="21" fillId="20" borderId="13" xfId="0" applyFont="1" applyFill="1" applyBorder="1" applyAlignment="1" applyProtection="1">
      <alignment horizontal="center" wrapText="1"/>
    </xf>
    <xf numFmtId="1" fontId="0" fillId="20" borderId="13" xfId="45" applyNumberFormat="1" applyFont="1" applyFill="1" applyBorder="1"/>
    <xf numFmtId="167" fontId="0" fillId="20" borderId="13" xfId="45" applyNumberFormat="1" applyFont="1" applyFill="1" applyBorder="1"/>
    <xf numFmtId="167" fontId="0" fillId="0" borderId="0" xfId="0" applyNumberFormat="1"/>
    <xf numFmtId="167" fontId="0" fillId="0" borderId="13" xfId="0" applyNumberFormat="1" applyBorder="1"/>
    <xf numFmtId="2" fontId="0" fillId="20" borderId="13" xfId="45" applyNumberFormat="1" applyFont="1" applyFill="1" applyBorder="1"/>
    <xf numFmtId="2" fontId="0" fillId="0" borderId="0" xfId="0" applyNumberFormat="1"/>
    <xf numFmtId="170" fontId="0" fillId="0" borderId="13" xfId="0" applyNumberFormat="1" applyBorder="1"/>
    <xf numFmtId="16" fontId="0" fillId="0" borderId="0" xfId="0" applyNumberFormat="1"/>
    <xf numFmtId="0" fontId="0" fillId="0" borderId="64" xfId="0" applyFill="1" applyBorder="1"/>
    <xf numFmtId="0" fontId="20" fillId="18" borderId="0" xfId="0" applyFont="1" applyFill="1" applyProtection="1">
      <protection hidden="1"/>
    </xf>
    <xf numFmtId="0" fontId="20" fillId="18" borderId="0" xfId="0" applyFont="1" applyFill="1" applyBorder="1" applyProtection="1">
      <protection hidden="1"/>
    </xf>
    <xf numFmtId="0" fontId="20" fillId="0" borderId="0" xfId="0" applyFont="1" applyProtection="1">
      <protection hidden="1"/>
    </xf>
    <xf numFmtId="0" fontId="22" fillId="18" borderId="0" xfId="0" applyFont="1" applyFill="1" applyProtection="1">
      <protection hidden="1"/>
    </xf>
    <xf numFmtId="0" fontId="20" fillId="0" borderId="0" xfId="0" applyFont="1" applyBorder="1" applyProtection="1">
      <protection hidden="1"/>
    </xf>
    <xf numFmtId="0" fontId="0" fillId="18" borderId="0" xfId="0" applyFill="1" applyBorder="1" applyProtection="1">
      <protection hidden="1"/>
    </xf>
    <xf numFmtId="0" fontId="0" fillId="0" borderId="0" xfId="0" applyProtection="1">
      <protection hidden="1"/>
    </xf>
    <xf numFmtId="165" fontId="0" fillId="18" borderId="0" xfId="0" applyNumberFormat="1" applyFill="1" applyBorder="1" applyProtection="1">
      <protection hidden="1"/>
    </xf>
    <xf numFmtId="165" fontId="0" fillId="0" borderId="0" xfId="0" applyNumberFormat="1" applyProtection="1">
      <protection hidden="1"/>
    </xf>
    <xf numFmtId="165" fontId="0" fillId="0" borderId="0" xfId="45" applyFont="1" applyProtection="1">
      <protection hidden="1"/>
    </xf>
    <xf numFmtId="165" fontId="28" fillId="0" borderId="0" xfId="0" applyNumberFormat="1" applyFont="1" applyFill="1" applyProtection="1">
      <protection hidden="1"/>
    </xf>
    <xf numFmtId="165" fontId="53" fillId="19" borderId="30" xfId="45" applyFont="1" applyFill="1" applyBorder="1" applyProtection="1">
      <protection locked="0"/>
    </xf>
    <xf numFmtId="0" fontId="76" fillId="20" borderId="45" xfId="0" applyFont="1" applyFill="1" applyBorder="1" applyAlignment="1" applyProtection="1">
      <alignment wrapText="1"/>
    </xf>
    <xf numFmtId="0" fontId="0" fillId="0" borderId="0" xfId="0" applyAlignment="1" applyProtection="1">
      <alignment wrapText="1"/>
      <protection hidden="1"/>
    </xf>
    <xf numFmtId="0" fontId="0" fillId="21" borderId="0" xfId="0" applyFill="1" applyProtection="1">
      <protection hidden="1"/>
    </xf>
    <xf numFmtId="165" fontId="0" fillId="21" borderId="0" xfId="0" applyNumberFormat="1" applyFill="1" applyProtection="1">
      <protection hidden="1"/>
    </xf>
    <xf numFmtId="165" fontId="11" fillId="21" borderId="0" xfId="45" applyFill="1" applyProtection="1">
      <protection hidden="1"/>
    </xf>
    <xf numFmtId="165" fontId="28" fillId="21" borderId="0" xfId="0" applyNumberFormat="1" applyFont="1" applyFill="1" applyProtection="1">
      <protection hidden="1"/>
    </xf>
    <xf numFmtId="165" fontId="11" fillId="0" borderId="0" xfId="45" applyProtection="1">
      <protection hidden="1"/>
    </xf>
    <xf numFmtId="165" fontId="28" fillId="0" borderId="0" xfId="0" applyNumberFormat="1" applyFont="1" applyProtection="1">
      <protection hidden="1"/>
    </xf>
    <xf numFmtId="0" fontId="0" fillId="25" borderId="39" xfId="0" applyFill="1" applyBorder="1" applyProtection="1">
      <protection hidden="1"/>
    </xf>
    <xf numFmtId="165" fontId="46" fillId="25" borderId="57" xfId="0" applyNumberFormat="1" applyFont="1" applyFill="1" applyBorder="1" applyProtection="1">
      <protection hidden="1"/>
    </xf>
    <xf numFmtId="165" fontId="46" fillId="25" borderId="29" xfId="0" applyNumberFormat="1" applyFont="1" applyFill="1" applyBorder="1" applyProtection="1">
      <protection hidden="1"/>
    </xf>
    <xf numFmtId="165" fontId="46" fillId="0" borderId="0" xfId="0" applyNumberFormat="1" applyFont="1" applyFill="1" applyBorder="1" applyProtection="1">
      <protection hidden="1"/>
    </xf>
    <xf numFmtId="0" fontId="47" fillId="0" borderId="0" xfId="0" applyFont="1" applyProtection="1">
      <protection hidden="1"/>
    </xf>
    <xf numFmtId="165" fontId="47" fillId="0" borderId="0" xfId="0" applyNumberFormat="1" applyFont="1" applyProtection="1">
      <protection hidden="1"/>
    </xf>
    <xf numFmtId="165" fontId="47" fillId="0" borderId="0" xfId="45" applyFont="1" applyProtection="1">
      <protection hidden="1"/>
    </xf>
    <xf numFmtId="0" fontId="0" fillId="0" borderId="39" xfId="0" applyBorder="1" applyProtection="1">
      <protection hidden="1"/>
    </xf>
    <xf numFmtId="165" fontId="32" fillId="0" borderId="35" xfId="0" applyNumberFormat="1" applyFont="1" applyBorder="1" applyProtection="1">
      <protection hidden="1"/>
    </xf>
    <xf numFmtId="165" fontId="32" fillId="0" borderId="0" xfId="45" applyFont="1" applyProtection="1">
      <protection hidden="1"/>
    </xf>
    <xf numFmtId="165" fontId="32" fillId="0" borderId="0" xfId="0" applyNumberFormat="1" applyFont="1" applyProtection="1">
      <protection hidden="1"/>
    </xf>
    <xf numFmtId="165" fontId="33" fillId="0" borderId="0" xfId="0" applyNumberFormat="1" applyFont="1" applyProtection="1">
      <protection hidden="1"/>
    </xf>
    <xf numFmtId="165" fontId="32" fillId="0" borderId="29" xfId="0" applyNumberFormat="1" applyFont="1" applyBorder="1" applyProtection="1">
      <protection hidden="1"/>
    </xf>
    <xf numFmtId="0" fontId="46" fillId="0" borderId="0" xfId="0" applyFont="1" applyProtection="1">
      <protection hidden="1"/>
    </xf>
    <xf numFmtId="165" fontId="0" fillId="0" borderId="0" xfId="0" applyNumberFormat="1" applyFill="1" applyProtection="1">
      <protection hidden="1"/>
    </xf>
    <xf numFmtId="165" fontId="28" fillId="21" borderId="29" xfId="0" applyNumberFormat="1" applyFont="1" applyFill="1" applyBorder="1" applyProtection="1">
      <protection hidden="1"/>
    </xf>
    <xf numFmtId="0" fontId="0" fillId="28" borderId="0" xfId="0" applyFill="1" applyProtection="1">
      <protection hidden="1"/>
    </xf>
    <xf numFmtId="37" fontId="0" fillId="28" borderId="0" xfId="0" applyNumberFormat="1" applyFill="1" applyProtection="1">
      <protection hidden="1"/>
    </xf>
    <xf numFmtId="37" fontId="28" fillId="28" borderId="0" xfId="0" applyNumberFormat="1" applyFont="1" applyFill="1" applyProtection="1">
      <protection hidden="1"/>
    </xf>
    <xf numFmtId="165" fontId="25" fillId="21" borderId="0" xfId="0" applyNumberFormat="1" applyFont="1" applyFill="1" applyProtection="1">
      <protection hidden="1"/>
    </xf>
    <xf numFmtId="37" fontId="0" fillId="0" borderId="0" xfId="0" applyNumberFormat="1" applyProtection="1">
      <protection hidden="1"/>
    </xf>
    <xf numFmtId="43" fontId="0" fillId="0" borderId="0" xfId="0" applyNumberFormat="1" applyProtection="1">
      <protection hidden="1"/>
    </xf>
    <xf numFmtId="43" fontId="49" fillId="22" borderId="13" xfId="0" applyNumberFormat="1" applyFont="1" applyFill="1" applyBorder="1" applyProtection="1">
      <protection hidden="1"/>
    </xf>
    <xf numFmtId="43" fontId="59" fillId="0" borderId="0" xfId="0" applyNumberFormat="1" applyFont="1" applyProtection="1">
      <protection hidden="1"/>
    </xf>
    <xf numFmtId="43" fontId="49" fillId="22" borderId="65" xfId="0" applyNumberFormat="1" applyFont="1" applyFill="1" applyBorder="1" applyProtection="1">
      <protection hidden="1"/>
    </xf>
    <xf numFmtId="165" fontId="0" fillId="0" borderId="0" xfId="45" applyNumberFormat="1" applyFont="1" applyProtection="1">
      <protection hidden="1"/>
    </xf>
    <xf numFmtId="43" fontId="49" fillId="0" borderId="24" xfId="0" applyNumberFormat="1" applyFont="1" applyBorder="1" applyProtection="1">
      <protection hidden="1"/>
    </xf>
    <xf numFmtId="43" fontId="49" fillId="0" borderId="28" xfId="0" applyNumberFormat="1" applyFont="1" applyBorder="1" applyProtection="1">
      <protection hidden="1"/>
    </xf>
    <xf numFmtId="0" fontId="0" fillId="25" borderId="0" xfId="0" applyFill="1" applyProtection="1">
      <protection hidden="1"/>
    </xf>
    <xf numFmtId="43" fontId="49" fillId="0" borderId="0" xfId="0" applyNumberFormat="1" applyFont="1" applyProtection="1">
      <protection hidden="1"/>
    </xf>
    <xf numFmtId="43" fontId="49" fillId="25" borderId="0" xfId="0" applyNumberFormat="1" applyFont="1" applyFill="1" applyProtection="1">
      <protection hidden="1"/>
    </xf>
    <xf numFmtId="0" fontId="0" fillId="25" borderId="13" xfId="0" applyFill="1" applyBorder="1" applyProtection="1">
      <protection hidden="1"/>
    </xf>
    <xf numFmtId="0" fontId="37" fillId="0" borderId="0" xfId="0" applyFont="1" applyProtection="1">
      <protection hidden="1"/>
    </xf>
    <xf numFmtId="0" fontId="37" fillId="25" borderId="13" xfId="0" applyFont="1" applyFill="1" applyBorder="1" applyProtection="1">
      <protection hidden="1"/>
    </xf>
    <xf numFmtId="43" fontId="0" fillId="25" borderId="13" xfId="0" applyNumberFormat="1" applyFill="1" applyBorder="1" applyProtection="1">
      <protection hidden="1"/>
    </xf>
    <xf numFmtId="0" fontId="37" fillId="25" borderId="0" xfId="0" applyFont="1" applyFill="1" applyBorder="1" applyProtection="1">
      <protection hidden="1"/>
    </xf>
    <xf numFmtId="165" fontId="37" fillId="0" borderId="0" xfId="45" applyFont="1" applyProtection="1">
      <protection hidden="1"/>
    </xf>
    <xf numFmtId="165" fontId="28" fillId="0" borderId="0" xfId="45" applyFont="1" applyProtection="1">
      <protection hidden="1"/>
    </xf>
    <xf numFmtId="165" fontId="59" fillId="0" borderId="0" xfId="0" applyNumberFormat="1" applyFont="1" applyProtection="1">
      <protection hidden="1"/>
    </xf>
    <xf numFmtId="43" fontId="37" fillId="0" borderId="0" xfId="0" applyNumberFormat="1" applyFont="1" applyProtection="1">
      <protection hidden="1"/>
    </xf>
    <xf numFmtId="43" fontId="0" fillId="29" borderId="0" xfId="0" applyNumberFormat="1" applyFill="1" applyProtection="1">
      <protection hidden="1"/>
    </xf>
    <xf numFmtId="165" fontId="0" fillId="29" borderId="0" xfId="0" applyNumberFormat="1" applyFill="1" applyProtection="1">
      <protection hidden="1"/>
    </xf>
    <xf numFmtId="0" fontId="0" fillId="29" borderId="0" xfId="0" applyFill="1" applyProtection="1">
      <protection hidden="1"/>
    </xf>
    <xf numFmtId="43" fontId="21" fillId="24" borderId="0" xfId="0" applyNumberFormat="1" applyFont="1" applyFill="1" applyProtection="1">
      <protection hidden="1"/>
    </xf>
    <xf numFmtId="165" fontId="21" fillId="24" borderId="0" xfId="0" applyNumberFormat="1" applyFont="1" applyFill="1" applyProtection="1">
      <protection hidden="1"/>
    </xf>
    <xf numFmtId="0" fontId="21" fillId="24" borderId="0" xfId="0" applyFont="1" applyFill="1" applyProtection="1">
      <protection hidden="1"/>
    </xf>
    <xf numFmtId="165" fontId="22" fillId="24" borderId="0" xfId="0" applyNumberFormat="1" applyFont="1" applyFill="1" applyProtection="1">
      <protection hidden="1"/>
    </xf>
    <xf numFmtId="0" fontId="11" fillId="22" borderId="13" xfId="0" applyFont="1" applyFill="1" applyBorder="1" applyProtection="1">
      <protection hidden="1"/>
    </xf>
    <xf numFmtId="0" fontId="1" fillId="18" borderId="36" xfId="0" applyFont="1" applyFill="1" applyBorder="1" applyAlignment="1">
      <alignment horizontal="center"/>
    </xf>
    <xf numFmtId="0" fontId="1" fillId="18" borderId="33" xfId="0" applyFont="1" applyFill="1" applyBorder="1" applyAlignment="1">
      <alignment horizontal="center"/>
    </xf>
    <xf numFmtId="165" fontId="1" fillId="18" borderId="11" xfId="45" applyFont="1" applyFill="1" applyBorder="1" applyAlignment="1">
      <alignment horizontal="left" indent="2"/>
    </xf>
    <xf numFmtId="173" fontId="1" fillId="18" borderId="11" xfId="35" applyNumberFormat="1" applyFont="1" applyFill="1" applyBorder="1" applyAlignment="1">
      <alignment horizontal="center"/>
    </xf>
    <xf numFmtId="0" fontId="1" fillId="18" borderId="13" xfId="0" applyFont="1" applyFill="1" applyBorder="1"/>
    <xf numFmtId="0" fontId="1" fillId="18" borderId="13" xfId="0" applyFont="1" applyFill="1" applyBorder="1" applyAlignment="1">
      <alignment horizontal="right" indent="2"/>
    </xf>
    <xf numFmtId="0" fontId="83" fillId="18" borderId="13" xfId="0" applyFont="1" applyFill="1" applyBorder="1" applyAlignment="1">
      <alignment horizontal="right"/>
    </xf>
    <xf numFmtId="0" fontId="1" fillId="18" borderId="13" xfId="0" applyFont="1" applyFill="1" applyBorder="1" applyAlignment="1">
      <alignment horizontal="left"/>
    </xf>
    <xf numFmtId="0" fontId="2" fillId="18" borderId="0" xfId="0" applyFont="1" applyFill="1" applyBorder="1" applyAlignment="1">
      <alignment horizontal="right"/>
    </xf>
    <xf numFmtId="165" fontId="1" fillId="24" borderId="39" xfId="45" applyFont="1" applyFill="1" applyBorder="1" applyAlignment="1">
      <alignment horizontal="center"/>
    </xf>
    <xf numFmtId="165" fontId="1" fillId="24" borderId="29" xfId="45" applyFont="1" applyFill="1" applyBorder="1" applyAlignment="1">
      <alignment horizontal="center"/>
    </xf>
    <xf numFmtId="165" fontId="11" fillId="18" borderId="0" xfId="45" applyFont="1" applyFill="1" applyBorder="1"/>
    <xf numFmtId="0" fontId="1" fillId="0" borderId="13" xfId="0" applyFont="1" applyFill="1" applyBorder="1" applyAlignment="1">
      <alignment horizontal="left"/>
    </xf>
    <xf numFmtId="9" fontId="1" fillId="0" borderId="13" xfId="35" applyFont="1" applyFill="1" applyBorder="1" applyAlignment="1">
      <alignment horizontal="center"/>
    </xf>
    <xf numFmtId="0" fontId="1" fillId="0" borderId="13" xfId="0" applyFont="1" applyFill="1" applyBorder="1"/>
    <xf numFmtId="0" fontId="11" fillId="0" borderId="13" xfId="0" applyFont="1" applyFill="1" applyBorder="1"/>
    <xf numFmtId="0" fontId="1" fillId="18" borderId="13" xfId="0" applyFont="1" applyFill="1" applyBorder="1" applyAlignment="1">
      <alignment horizontal="left" indent="2"/>
    </xf>
    <xf numFmtId="165" fontId="83" fillId="18" borderId="0" xfId="0" applyNumberFormat="1" applyFont="1" applyFill="1" applyBorder="1" applyAlignment="1">
      <alignment horizontal="right"/>
    </xf>
    <xf numFmtId="3" fontId="83" fillId="18" borderId="0" xfId="45" applyNumberFormat="1" applyFont="1" applyFill="1" applyBorder="1"/>
    <xf numFmtId="165" fontId="83" fillId="18" borderId="0" xfId="0" applyNumberFormat="1" applyFont="1" applyFill="1" applyBorder="1"/>
    <xf numFmtId="43" fontId="83" fillId="18" borderId="0" xfId="0" applyNumberFormat="1" applyFont="1" applyFill="1" applyBorder="1"/>
    <xf numFmtId="43" fontId="1" fillId="18" borderId="0" xfId="0" applyNumberFormat="1" applyFont="1" applyFill="1" applyBorder="1"/>
    <xf numFmtId="0" fontId="59" fillId="18" borderId="13" xfId="0" applyFont="1" applyFill="1" applyBorder="1" applyAlignment="1">
      <alignment horizontal="left" indent="2"/>
    </xf>
    <xf numFmtId="165" fontId="78" fillId="18" borderId="13" xfId="45" applyFont="1" applyFill="1" applyBorder="1" applyAlignment="1">
      <alignment horizontal="left" indent="2"/>
    </xf>
    <xf numFmtId="165" fontId="87" fillId="18" borderId="13" xfId="45" applyFont="1" applyFill="1" applyBorder="1" applyAlignment="1">
      <alignment horizontal="center"/>
    </xf>
    <xf numFmtId="0" fontId="81" fillId="18" borderId="0" xfId="0" applyFont="1" applyFill="1"/>
    <xf numFmtId="0" fontId="46" fillId="18" borderId="0" xfId="0" applyFont="1" applyFill="1"/>
    <xf numFmtId="2" fontId="2" fillId="18" borderId="23" xfId="45" applyNumberFormat="1" applyFont="1" applyFill="1" applyBorder="1" applyAlignment="1">
      <alignment horizontal="right"/>
    </xf>
    <xf numFmtId="2" fontId="2" fillId="18" borderId="13" xfId="45" applyNumberFormat="1" applyFont="1" applyFill="1" applyBorder="1" applyAlignment="1">
      <alignment horizontal="right"/>
    </xf>
    <xf numFmtId="2" fontId="81" fillId="18" borderId="0" xfId="0" applyNumberFormat="1" applyFont="1" applyFill="1"/>
    <xf numFmtId="0" fontId="78" fillId="18" borderId="0" xfId="0" applyFont="1" applyFill="1"/>
    <xf numFmtId="43" fontId="78" fillId="18" borderId="0" xfId="0" applyNumberFormat="1" applyFont="1" applyFill="1"/>
    <xf numFmtId="165" fontId="78" fillId="18" borderId="0" xfId="0" applyNumberFormat="1" applyFont="1" applyFill="1"/>
    <xf numFmtId="169" fontId="20" fillId="18" borderId="0" xfId="0" applyNumberFormat="1" applyFont="1" applyFill="1" applyBorder="1" applyProtection="1"/>
    <xf numFmtId="0" fontId="60" fillId="18" borderId="0" xfId="0" applyFont="1" applyFill="1" applyProtection="1"/>
    <xf numFmtId="0" fontId="29" fillId="18" borderId="0" xfId="0" applyFont="1" applyFill="1" applyBorder="1" applyAlignment="1" applyProtection="1"/>
    <xf numFmtId="0" fontId="37" fillId="18" borderId="0" xfId="0" applyFont="1" applyFill="1" applyBorder="1" applyProtection="1"/>
    <xf numFmtId="1" fontId="25" fillId="0" borderId="27" xfId="0" applyNumberFormat="1" applyFont="1" applyFill="1" applyBorder="1" applyProtection="1"/>
    <xf numFmtId="0" fontId="22" fillId="0" borderId="13" xfId="0" applyFont="1" applyFill="1" applyBorder="1" applyProtection="1"/>
    <xf numFmtId="165" fontId="20" fillId="18" borderId="0" xfId="0" applyNumberFormat="1" applyFont="1" applyFill="1" applyProtection="1"/>
    <xf numFmtId="165" fontId="20" fillId="0" borderId="0" xfId="0" applyNumberFormat="1" applyFont="1" applyProtection="1"/>
    <xf numFmtId="165" fontId="25" fillId="0" borderId="27" xfId="45" applyFont="1" applyFill="1" applyBorder="1" applyProtection="1"/>
    <xf numFmtId="0" fontId="20" fillId="24" borderId="13" xfId="0" applyFont="1" applyFill="1" applyBorder="1" applyProtection="1"/>
    <xf numFmtId="0" fontId="37" fillId="0" borderId="0" xfId="0" applyFont="1" applyFill="1" applyBorder="1" applyAlignment="1" applyProtection="1">
      <alignment wrapText="1"/>
    </xf>
    <xf numFmtId="165" fontId="37" fillId="0" borderId="0" xfId="45" applyFont="1" applyFill="1" applyBorder="1" applyProtection="1"/>
    <xf numFmtId="165" fontId="26" fillId="0" borderId="0" xfId="45" applyFont="1" applyFill="1" applyBorder="1" applyAlignment="1" applyProtection="1"/>
    <xf numFmtId="165" fontId="37" fillId="0" borderId="0" xfId="45" applyFont="1" applyFill="1" applyProtection="1"/>
    <xf numFmtId="0" fontId="37" fillId="0" borderId="0" xfId="0" applyFont="1" applyFill="1" applyBorder="1" applyAlignment="1" applyProtection="1">
      <alignment horizontal="center"/>
    </xf>
    <xf numFmtId="165" fontId="26" fillId="0" borderId="0" xfId="45" applyFont="1" applyFill="1" applyBorder="1" applyProtection="1"/>
    <xf numFmtId="0" fontId="37" fillId="0" borderId="0" xfId="0" applyFont="1" applyFill="1" applyProtection="1"/>
    <xf numFmtId="0" fontId="37" fillId="0" borderId="0" xfId="0" applyFont="1" applyFill="1" applyBorder="1" applyProtection="1"/>
    <xf numFmtId="165" fontId="37" fillId="0" borderId="0" xfId="0" applyNumberFormat="1" applyFont="1" applyFill="1" applyBorder="1" applyProtection="1"/>
    <xf numFmtId="0" fontId="59" fillId="18" borderId="0" xfId="0" applyFont="1" applyFill="1" applyBorder="1" applyProtection="1"/>
    <xf numFmtId="0" fontId="29" fillId="0" borderId="0" xfId="0" applyFont="1" applyFill="1" applyBorder="1" applyAlignment="1" applyProtection="1"/>
    <xf numFmtId="0" fontId="26" fillId="20" borderId="36" xfId="0" applyFont="1" applyFill="1" applyBorder="1" applyProtection="1"/>
    <xf numFmtId="0" fontId="26" fillId="20" borderId="31" xfId="0" applyFont="1" applyFill="1" applyBorder="1" applyAlignment="1" applyProtection="1">
      <alignment horizontal="justify"/>
    </xf>
    <xf numFmtId="0" fontId="26" fillId="20" borderId="68" xfId="0" applyFont="1" applyFill="1" applyBorder="1" applyAlignment="1" applyProtection="1">
      <alignment horizontal="center" wrapText="1"/>
    </xf>
    <xf numFmtId="0" fontId="26" fillId="20" borderId="50" xfId="0" applyFont="1" applyFill="1" applyBorder="1" applyAlignment="1" applyProtection="1">
      <alignment horizontal="justify"/>
    </xf>
    <xf numFmtId="0" fontId="0" fillId="18" borderId="21" xfId="0" applyFill="1" applyBorder="1" applyProtection="1"/>
    <xf numFmtId="0" fontId="0" fillId="18" borderId="11" xfId="0" applyFill="1" applyBorder="1" applyProtection="1"/>
    <xf numFmtId="0" fontId="0" fillId="18" borderId="26" xfId="0" applyFill="1" applyBorder="1" applyProtection="1"/>
    <xf numFmtId="0" fontId="20" fillId="24" borderId="18" xfId="0" applyFont="1" applyFill="1" applyBorder="1" applyProtection="1"/>
    <xf numFmtId="0" fontId="20" fillId="24" borderId="14" xfId="0" applyFont="1" applyFill="1" applyBorder="1" applyProtection="1"/>
    <xf numFmtId="0" fontId="21" fillId="24" borderId="14" xfId="0" applyFont="1" applyFill="1" applyBorder="1" applyProtection="1"/>
    <xf numFmtId="165" fontId="21" fillId="24" borderId="38" xfId="45" applyFont="1" applyFill="1" applyBorder="1" applyProtection="1"/>
    <xf numFmtId="165" fontId="53" fillId="24" borderId="38" xfId="45" applyFont="1" applyFill="1" applyBorder="1" applyProtection="1"/>
    <xf numFmtId="0" fontId="0" fillId="30" borderId="0" xfId="0" applyFill="1" applyProtection="1"/>
    <xf numFmtId="0" fontId="26" fillId="30" borderId="49" xfId="0" applyFont="1" applyFill="1" applyBorder="1" applyAlignment="1" applyProtection="1">
      <alignment horizontal="center"/>
    </xf>
    <xf numFmtId="0" fontId="26" fillId="18" borderId="0" xfId="0" applyFont="1" applyFill="1" applyBorder="1" applyAlignment="1" applyProtection="1">
      <alignment horizontal="center"/>
    </xf>
    <xf numFmtId="0" fontId="26" fillId="18" borderId="0" xfId="0" applyFont="1" applyFill="1" applyBorder="1" applyProtection="1"/>
    <xf numFmtId="0" fontId="26" fillId="30" borderId="24" xfId="0" applyFont="1" applyFill="1" applyBorder="1" applyProtection="1"/>
    <xf numFmtId="0" fontId="26" fillId="30" borderId="25" xfId="0" applyFont="1" applyFill="1" applyBorder="1" applyAlignment="1" applyProtection="1">
      <alignment horizontal="center" wrapText="1"/>
    </xf>
    <xf numFmtId="0" fontId="26" fillId="30" borderId="24" xfId="0" applyFont="1" applyFill="1" applyBorder="1" applyAlignment="1" applyProtection="1">
      <alignment horizontal="center" wrapText="1"/>
    </xf>
    <xf numFmtId="0" fontId="26" fillId="30" borderId="28" xfId="0" applyFont="1" applyFill="1" applyBorder="1" applyAlignment="1" applyProtection="1">
      <alignment horizontal="center" wrapText="1"/>
    </xf>
    <xf numFmtId="0" fontId="26" fillId="30" borderId="48" xfId="0" applyFont="1" applyFill="1" applyBorder="1" applyAlignment="1" applyProtection="1">
      <alignment horizontal="center" wrapText="1"/>
    </xf>
    <xf numFmtId="0" fontId="26" fillId="30" borderId="47" xfId="0" applyFont="1" applyFill="1" applyBorder="1" applyAlignment="1" applyProtection="1">
      <alignment horizontal="center" wrapText="1"/>
    </xf>
    <xf numFmtId="0" fontId="26" fillId="30" borderId="25" xfId="0" applyFont="1" applyFill="1" applyBorder="1" applyAlignment="1" applyProtection="1">
      <alignment wrapText="1"/>
    </xf>
    <xf numFmtId="164" fontId="22" fillId="22" borderId="69" xfId="0" applyNumberFormat="1" applyFont="1" applyFill="1" applyBorder="1" applyProtection="1"/>
    <xf numFmtId="168" fontId="48" fillId="18" borderId="13" xfId="0" applyNumberFormat="1" applyFont="1" applyFill="1" applyBorder="1" applyProtection="1"/>
    <xf numFmtId="0" fontId="48" fillId="18" borderId="30" xfId="0" applyFont="1" applyFill="1" applyBorder="1" applyProtection="1"/>
    <xf numFmtId="165" fontId="0" fillId="0" borderId="0" xfId="0" applyNumberFormat="1" applyProtection="1"/>
    <xf numFmtId="164" fontId="22" fillId="22" borderId="70" xfId="0" applyNumberFormat="1" applyFont="1" applyFill="1" applyBorder="1" applyProtection="1"/>
    <xf numFmtId="0" fontId="23" fillId="18" borderId="0" xfId="0" applyFont="1" applyFill="1" applyBorder="1" applyAlignment="1" applyProtection="1">
      <alignment horizontal="center"/>
    </xf>
    <xf numFmtId="164" fontId="22" fillId="22" borderId="39" xfId="0" applyNumberFormat="1" applyFont="1" applyFill="1" applyBorder="1" applyProtection="1"/>
    <xf numFmtId="164" fontId="22" fillId="22" borderId="45" xfId="0" applyNumberFormat="1" applyFont="1" applyFill="1" applyBorder="1" applyProtection="1"/>
    <xf numFmtId="0" fontId="64" fillId="0" borderId="0" xfId="0" applyFont="1" applyFill="1" applyProtection="1"/>
    <xf numFmtId="0" fontId="64" fillId="0" borderId="24" xfId="0" applyFont="1" applyFill="1" applyBorder="1" applyProtection="1"/>
    <xf numFmtId="165" fontId="64" fillId="0" borderId="28" xfId="45" applyFont="1" applyFill="1" applyBorder="1" applyProtection="1"/>
    <xf numFmtId="165" fontId="64" fillId="0" borderId="25" xfId="45" applyFont="1" applyFill="1" applyBorder="1" applyProtection="1"/>
    <xf numFmtId="165" fontId="67" fillId="18" borderId="14" xfId="0" applyNumberFormat="1" applyFont="1" applyFill="1" applyBorder="1" applyProtection="1"/>
    <xf numFmtId="0" fontId="67" fillId="18" borderId="38" xfId="0" applyFont="1" applyFill="1" applyBorder="1" applyProtection="1"/>
    <xf numFmtId="0" fontId="64" fillId="18" borderId="0" xfId="0" applyFont="1" applyFill="1" applyBorder="1" applyProtection="1"/>
    <xf numFmtId="168" fontId="65" fillId="18" borderId="0" xfId="0" applyNumberFormat="1" applyFont="1" applyFill="1" applyBorder="1" applyProtection="1"/>
    <xf numFmtId="164" fontId="0" fillId="0" borderId="0" xfId="0" applyNumberFormat="1" applyProtection="1"/>
    <xf numFmtId="165" fontId="0" fillId="18" borderId="0" xfId="0" applyNumberFormat="1" applyFill="1" applyBorder="1" applyProtection="1"/>
    <xf numFmtId="165" fontId="0" fillId="0" borderId="0" xfId="45" applyFont="1" applyProtection="1"/>
    <xf numFmtId="165" fontId="0" fillId="18" borderId="0" xfId="45" applyFont="1" applyFill="1" applyBorder="1" applyProtection="1"/>
    <xf numFmtId="164" fontId="26" fillId="21" borderId="0" xfId="0" applyNumberFormat="1" applyFont="1" applyFill="1" applyProtection="1"/>
    <xf numFmtId="165" fontId="26" fillId="21" borderId="0" xfId="0" applyNumberFormat="1" applyFont="1" applyFill="1" applyProtection="1"/>
    <xf numFmtId="165" fontId="26" fillId="18" borderId="0" xfId="0" applyNumberFormat="1" applyFont="1" applyFill="1" applyBorder="1" applyProtection="1"/>
    <xf numFmtId="164" fontId="0" fillId="18" borderId="0" xfId="0" applyNumberFormat="1" applyFill="1" applyBorder="1" applyProtection="1"/>
    <xf numFmtId="164" fontId="0" fillId="0" borderId="13" xfId="0" applyNumberFormat="1" applyBorder="1" applyProtection="1"/>
    <xf numFmtId="164" fontId="0" fillId="18" borderId="13" xfId="0" applyNumberFormat="1" applyFill="1" applyBorder="1" applyProtection="1"/>
    <xf numFmtId="164" fontId="0" fillId="0" borderId="0" xfId="0" applyNumberFormat="1" applyBorder="1" applyProtection="1"/>
    <xf numFmtId="164" fontId="0" fillId="18" borderId="0" xfId="0" applyNumberFormat="1" applyFill="1" applyProtection="1"/>
    <xf numFmtId="0" fontId="0" fillId="0" borderId="0" xfId="0" applyFill="1" applyBorder="1" applyProtection="1"/>
    <xf numFmtId="0" fontId="0" fillId="0" borderId="0" xfId="0" applyFill="1" applyProtection="1"/>
    <xf numFmtId="37" fontId="0" fillId="0" borderId="0" xfId="0" applyNumberFormat="1" applyFill="1" applyBorder="1" applyProtection="1"/>
    <xf numFmtId="165" fontId="0" fillId="0" borderId="0" xfId="0" applyNumberFormat="1" applyFill="1" applyBorder="1" applyProtection="1"/>
    <xf numFmtId="165" fontId="28" fillId="0" borderId="0" xfId="0" applyNumberFormat="1" applyFont="1" applyFill="1" applyProtection="1"/>
    <xf numFmtId="0" fontId="28" fillId="0" borderId="0" xfId="0" applyFont="1" applyFill="1" applyBorder="1" applyProtection="1"/>
    <xf numFmtId="165" fontId="28" fillId="0" borderId="0" xfId="0" applyNumberFormat="1" applyFont="1" applyFill="1" applyBorder="1" applyProtection="1"/>
    <xf numFmtId="0" fontId="53" fillId="18" borderId="0" xfId="0" applyFont="1" applyFill="1" applyProtection="1"/>
    <xf numFmtId="165" fontId="53" fillId="18" borderId="0" xfId="45" applyFont="1" applyFill="1" applyProtection="1"/>
    <xf numFmtId="0" fontId="69" fillId="18" borderId="0" xfId="0" applyFont="1" applyFill="1" applyProtection="1"/>
    <xf numFmtId="0" fontId="53" fillId="0" borderId="0" xfId="0" applyFont="1" applyFill="1" applyProtection="1"/>
    <xf numFmtId="0" fontId="53" fillId="0" borderId="0" xfId="0" applyFont="1" applyProtection="1"/>
    <xf numFmtId="0" fontId="70" fillId="18" borderId="0" xfId="0" applyFont="1" applyFill="1" applyProtection="1"/>
    <xf numFmtId="165" fontId="53" fillId="18" borderId="13" xfId="45" applyFont="1" applyFill="1" applyBorder="1" applyProtection="1"/>
    <xf numFmtId="165" fontId="69" fillId="18" borderId="0" xfId="45" applyFont="1" applyFill="1" applyProtection="1"/>
    <xf numFmtId="165" fontId="53" fillId="18" borderId="0" xfId="0" applyNumberFormat="1" applyFont="1" applyFill="1" applyProtection="1"/>
    <xf numFmtId="165" fontId="54" fillId="18" borderId="13" xfId="45" applyFont="1" applyFill="1" applyBorder="1" applyProtection="1"/>
    <xf numFmtId="165" fontId="69" fillId="18" borderId="0" xfId="0" applyNumberFormat="1" applyFont="1" applyFill="1" applyProtection="1"/>
    <xf numFmtId="43" fontId="69" fillId="18" borderId="0" xfId="0" applyNumberFormat="1" applyFont="1" applyFill="1" applyProtection="1"/>
    <xf numFmtId="0" fontId="77" fillId="18" borderId="0" xfId="0" applyFont="1" applyFill="1" applyProtection="1"/>
    <xf numFmtId="165" fontId="77" fillId="18" borderId="0" xfId="0" applyNumberFormat="1" applyFont="1" applyFill="1" applyProtection="1"/>
    <xf numFmtId="165" fontId="54" fillId="18" borderId="13" xfId="45" applyFont="1" applyFill="1" applyBorder="1" applyAlignment="1" applyProtection="1">
      <alignment horizontal="right"/>
    </xf>
    <xf numFmtId="43" fontId="77" fillId="18" borderId="0" xfId="0" applyNumberFormat="1" applyFont="1" applyFill="1" applyProtection="1"/>
    <xf numFmtId="175" fontId="53" fillId="18" borderId="0" xfId="0" applyNumberFormat="1" applyFont="1" applyFill="1" applyProtection="1"/>
    <xf numFmtId="0" fontId="79" fillId="18" borderId="0" xfId="0" applyFont="1" applyFill="1" applyProtection="1"/>
    <xf numFmtId="0" fontId="69" fillId="18" borderId="0" xfId="0" applyFont="1" applyFill="1" applyBorder="1" applyProtection="1"/>
    <xf numFmtId="165" fontId="54" fillId="18" borderId="13" xfId="45" applyFont="1" applyFill="1" applyBorder="1" applyAlignment="1" applyProtection="1">
      <alignment horizontal="center"/>
    </xf>
    <xf numFmtId="0" fontId="53" fillId="18" borderId="13" xfId="0" applyFont="1" applyFill="1" applyBorder="1" applyProtection="1"/>
    <xf numFmtId="165" fontId="55" fillId="18" borderId="13" xfId="45" applyFont="1" applyFill="1" applyBorder="1" applyProtection="1"/>
    <xf numFmtId="165" fontId="53" fillId="0" borderId="0" xfId="45" applyFont="1" applyProtection="1"/>
    <xf numFmtId="0" fontId="0" fillId="18" borderId="44" xfId="0" applyFill="1" applyBorder="1" applyProtection="1"/>
    <xf numFmtId="0" fontId="0" fillId="18" borderId="10" xfId="0" applyFill="1" applyBorder="1" applyProtection="1"/>
    <xf numFmtId="0" fontId="59" fillId="18" borderId="0" xfId="0" applyFont="1" applyFill="1" applyProtection="1"/>
    <xf numFmtId="0" fontId="0" fillId="18" borderId="12" xfId="0" applyFill="1" applyBorder="1" applyProtection="1"/>
    <xf numFmtId="0" fontId="26" fillId="0" borderId="0" xfId="0" applyFont="1" applyBorder="1" applyProtection="1"/>
    <xf numFmtId="0" fontId="26" fillId="18" borderId="12" xfId="0" applyFont="1" applyFill="1" applyBorder="1" applyProtection="1"/>
    <xf numFmtId="0" fontId="0" fillId="0" borderId="44" xfId="0" applyBorder="1" applyProtection="1"/>
    <xf numFmtId="0" fontId="0" fillId="18" borderId="51" xfId="0" applyFill="1" applyBorder="1" applyProtection="1"/>
    <xf numFmtId="0" fontId="0" fillId="20" borderId="13" xfId="0" applyFill="1" applyBorder="1" applyProtection="1"/>
    <xf numFmtId="0" fontId="34" fillId="18" borderId="0" xfId="0" applyFont="1" applyFill="1" applyBorder="1" applyProtection="1"/>
    <xf numFmtId="0" fontId="23" fillId="22" borderId="39" xfId="0" applyFont="1" applyFill="1" applyBorder="1" applyProtection="1"/>
    <xf numFmtId="0" fontId="20" fillId="22" borderId="57" xfId="0" applyFont="1" applyFill="1" applyBorder="1" applyProtection="1"/>
    <xf numFmtId="0" fontId="34" fillId="22" borderId="29" xfId="0" applyFont="1" applyFill="1" applyBorder="1" applyProtection="1"/>
    <xf numFmtId="0" fontId="20" fillId="22" borderId="44" xfId="0" applyFont="1" applyFill="1" applyBorder="1" applyProtection="1"/>
    <xf numFmtId="0" fontId="20" fillId="22" borderId="50" xfId="0" applyFont="1" applyFill="1" applyBorder="1" applyProtection="1"/>
    <xf numFmtId="0" fontId="20" fillId="22" borderId="62" xfId="0" applyFont="1" applyFill="1" applyBorder="1" applyProtection="1"/>
    <xf numFmtId="0" fontId="20" fillId="22" borderId="0" xfId="0" applyFont="1" applyFill="1" applyBorder="1" applyProtection="1"/>
    <xf numFmtId="0" fontId="20" fillId="22" borderId="46" xfId="0" applyFont="1" applyFill="1" applyBorder="1" applyProtection="1"/>
    <xf numFmtId="0" fontId="20" fillId="0" borderId="18" xfId="0" applyFont="1" applyBorder="1" applyAlignment="1" applyProtection="1">
      <alignment horizontal="center"/>
    </xf>
    <xf numFmtId="0" fontId="20" fillId="0" borderId="14" xfId="0" applyFont="1" applyBorder="1" applyAlignment="1" applyProtection="1">
      <alignment horizontal="center"/>
    </xf>
    <xf numFmtId="165" fontId="20" fillId="21" borderId="14" xfId="0" applyNumberFormat="1" applyFont="1" applyFill="1" applyBorder="1" applyAlignment="1" applyProtection="1">
      <alignment horizontal="center"/>
    </xf>
    <xf numFmtId="0" fontId="20" fillId="0" borderId="41" xfId="0" applyFont="1" applyBorder="1" applyAlignment="1" applyProtection="1">
      <alignment horizontal="center"/>
    </xf>
    <xf numFmtId="165" fontId="20" fillId="21" borderId="38" xfId="45" applyFont="1" applyFill="1" applyBorder="1" applyAlignment="1" applyProtection="1">
      <alignment horizontal="center"/>
    </xf>
    <xf numFmtId="0" fontId="20" fillId="21" borderId="57" xfId="0" applyFont="1" applyFill="1" applyBorder="1" applyProtection="1"/>
    <xf numFmtId="0" fontId="20" fillId="21" borderId="29" xfId="0" applyFont="1" applyFill="1" applyBorder="1" applyProtection="1"/>
    <xf numFmtId="165" fontId="20" fillId="21" borderId="35" xfId="45" applyFont="1" applyFill="1" applyBorder="1" applyProtection="1"/>
    <xf numFmtId="0" fontId="0" fillId="18" borderId="50" xfId="0" applyFill="1" applyBorder="1" applyProtection="1"/>
    <xf numFmtId="0" fontId="21" fillId="20" borderId="66" xfId="0" applyFont="1" applyFill="1" applyBorder="1" applyAlignment="1" applyProtection="1">
      <alignment wrapText="1"/>
    </xf>
    <xf numFmtId="164" fontId="22" fillId="20" borderId="69" xfId="0" applyNumberFormat="1" applyFont="1" applyFill="1" applyBorder="1" applyAlignment="1" applyProtection="1">
      <alignment horizontal="center"/>
    </xf>
    <xf numFmtId="0" fontId="47" fillId="0" borderId="11" xfId="0" applyFont="1" applyBorder="1" applyProtection="1"/>
    <xf numFmtId="0" fontId="47" fillId="0" borderId="26" xfId="0" applyFont="1" applyBorder="1" applyProtection="1"/>
    <xf numFmtId="164" fontId="22" fillId="20" borderId="70" xfId="0" applyNumberFormat="1" applyFont="1" applyFill="1" applyBorder="1" applyAlignment="1" applyProtection="1">
      <alignment horizontal="center"/>
    </xf>
    <xf numFmtId="0" fontId="47" fillId="0" borderId="13" xfId="0" applyFont="1" applyBorder="1" applyProtection="1"/>
    <xf numFmtId="0" fontId="26" fillId="0" borderId="39" xfId="0" applyFont="1" applyFill="1" applyBorder="1" applyProtection="1"/>
    <xf numFmtId="165" fontId="29" fillId="0" borderId="20" xfId="45" applyFont="1" applyFill="1" applyBorder="1" applyProtection="1"/>
    <xf numFmtId="165" fontId="47" fillId="0" borderId="17" xfId="0" applyNumberFormat="1" applyFont="1" applyBorder="1" applyProtection="1"/>
    <xf numFmtId="0" fontId="20" fillId="0" borderId="0" xfId="0" applyFont="1" applyFill="1" applyBorder="1" applyAlignment="1" applyProtection="1">
      <alignment horizontal="center"/>
    </xf>
    <xf numFmtId="165" fontId="20" fillId="0" borderId="0" xfId="0" applyNumberFormat="1" applyFont="1" applyFill="1" applyBorder="1" applyAlignment="1" applyProtection="1">
      <alignment horizontal="center"/>
    </xf>
    <xf numFmtId="164" fontId="20" fillId="18" borderId="0" xfId="0" applyNumberFormat="1" applyFont="1" applyFill="1" applyProtection="1"/>
    <xf numFmtId="43" fontId="23" fillId="18" borderId="0" xfId="0" applyNumberFormat="1" applyFont="1" applyFill="1" applyProtection="1"/>
    <xf numFmtId="0" fontId="23" fillId="18" borderId="0" xfId="0" applyFont="1" applyFill="1" applyProtection="1"/>
    <xf numFmtId="164" fontId="20" fillId="18" borderId="23" xfId="0" applyNumberFormat="1" applyFont="1" applyFill="1" applyBorder="1" applyProtection="1"/>
    <xf numFmtId="165" fontId="23" fillId="18" borderId="23" xfId="0" applyNumberFormat="1" applyFont="1" applyFill="1" applyBorder="1" applyProtection="1"/>
    <xf numFmtId="164" fontId="20" fillId="18" borderId="0" xfId="0" applyNumberFormat="1" applyFont="1" applyFill="1" applyBorder="1" applyProtection="1"/>
    <xf numFmtId="165" fontId="23" fillId="18" borderId="0" xfId="0" applyNumberFormat="1" applyFont="1" applyFill="1" applyBorder="1" applyProtection="1"/>
    <xf numFmtId="165" fontId="51" fillId="18" borderId="0" xfId="0" applyNumberFormat="1" applyFont="1" applyFill="1" applyBorder="1" applyProtection="1"/>
    <xf numFmtId="0" fontId="52" fillId="18" borderId="0" xfId="0" applyFont="1" applyFill="1" applyBorder="1" applyProtection="1"/>
    <xf numFmtId="37" fontId="52" fillId="18" borderId="0" xfId="0" applyNumberFormat="1" applyFont="1" applyFill="1" applyBorder="1" applyProtection="1"/>
    <xf numFmtId="165" fontId="52" fillId="18" borderId="0" xfId="0" applyNumberFormat="1" applyFont="1" applyFill="1" applyBorder="1" applyProtection="1"/>
    <xf numFmtId="165" fontId="22" fillId="18" borderId="0" xfId="0" applyNumberFormat="1" applyFont="1" applyFill="1" applyBorder="1" applyProtection="1"/>
    <xf numFmtId="0" fontId="0" fillId="21" borderId="14" xfId="0" applyFill="1" applyBorder="1" applyProtection="1"/>
    <xf numFmtId="0" fontId="0" fillId="0" borderId="20" xfId="0" applyBorder="1" applyProtection="1"/>
    <xf numFmtId="0" fontId="26" fillId="20" borderId="32" xfId="0" applyFont="1" applyFill="1" applyBorder="1" applyProtection="1"/>
    <xf numFmtId="0" fontId="26" fillId="20" borderId="32" xfId="0" applyFont="1" applyFill="1" applyBorder="1" applyAlignment="1" applyProtection="1">
      <alignment wrapText="1"/>
    </xf>
    <xf numFmtId="0" fontId="26" fillId="20" borderId="33" xfId="0" applyFont="1" applyFill="1" applyBorder="1" applyProtection="1"/>
    <xf numFmtId="165" fontId="0" fillId="21" borderId="30" xfId="0" applyNumberFormat="1" applyFill="1" applyBorder="1" applyProtection="1"/>
    <xf numFmtId="0" fontId="0" fillId="0" borderId="18" xfId="0" applyBorder="1" applyProtection="1"/>
    <xf numFmtId="0" fontId="0" fillId="0" borderId="14" xfId="0" applyBorder="1" applyProtection="1"/>
    <xf numFmtId="165" fontId="0" fillId="21" borderId="38" xfId="0" applyNumberFormat="1" applyFill="1" applyBorder="1" applyProtection="1"/>
    <xf numFmtId="0" fontId="0" fillId="18" borderId="19" xfId="0" applyFill="1" applyBorder="1" applyProtection="1"/>
    <xf numFmtId="0" fontId="0" fillId="18" borderId="13" xfId="0" applyFill="1" applyBorder="1" applyProtection="1"/>
    <xf numFmtId="0" fontId="0" fillId="18" borderId="30" xfId="0" applyFill="1" applyBorder="1" applyProtection="1"/>
    <xf numFmtId="165" fontId="21" fillId="21" borderId="35" xfId="0" applyNumberFormat="1" applyFont="1" applyFill="1" applyBorder="1" applyProtection="1"/>
    <xf numFmtId="0" fontId="20" fillId="0" borderId="51" xfId="0" applyFont="1" applyBorder="1" applyProtection="1"/>
    <xf numFmtId="0" fontId="22" fillId="0" borderId="0" xfId="0" applyFont="1" applyBorder="1" applyProtection="1"/>
    <xf numFmtId="0" fontId="0" fillId="24" borderId="0" xfId="0" applyFill="1" applyProtection="1"/>
    <xf numFmtId="0" fontId="83" fillId="24" borderId="0" xfId="0" applyFont="1" applyFill="1" applyBorder="1"/>
    <xf numFmtId="0" fontId="20" fillId="24" borderId="0" xfId="0" applyFont="1" applyFill="1" applyProtection="1"/>
    <xf numFmtId="0" fontId="0" fillId="0" borderId="0" xfId="0" applyProtection="1">
      <protection locked="0"/>
    </xf>
    <xf numFmtId="0" fontId="89" fillId="0" borderId="0" xfId="0" applyFont="1" applyProtection="1"/>
    <xf numFmtId="0" fontId="0" fillId="24" borderId="19" xfId="0" applyFill="1" applyBorder="1" applyAlignment="1">
      <alignment horizontal="center"/>
    </xf>
    <xf numFmtId="0" fontId="28" fillId="24" borderId="13" xfId="0" applyFont="1" applyFill="1" applyBorder="1" applyAlignment="1">
      <alignment horizontal="center"/>
    </xf>
    <xf numFmtId="0" fontId="0" fillId="24" borderId="19" xfId="0" applyFill="1" applyBorder="1"/>
    <xf numFmtId="0" fontId="0" fillId="24" borderId="13" xfId="0" applyFill="1" applyBorder="1"/>
    <xf numFmtId="0" fontId="0" fillId="24" borderId="18" xfId="0" applyFill="1" applyBorder="1"/>
    <xf numFmtId="0" fontId="0" fillId="24" borderId="14" xfId="0" applyFill="1" applyBorder="1"/>
    <xf numFmtId="165" fontId="88" fillId="24" borderId="19" xfId="0" applyNumberFormat="1" applyFont="1" applyFill="1" applyBorder="1"/>
    <xf numFmtId="2" fontId="84" fillId="0" borderId="13" xfId="0" applyNumberFormat="1" applyFont="1" applyFill="1" applyBorder="1" applyAlignment="1" applyProtection="1">
      <alignment horizontal="left" indent="2"/>
      <protection locked="0"/>
    </xf>
    <xf numFmtId="0" fontId="78" fillId="0" borderId="13" xfId="0" applyFont="1" applyFill="1" applyBorder="1" applyAlignment="1" applyProtection="1">
      <alignment horizontal="left" indent="2"/>
      <protection locked="0"/>
    </xf>
    <xf numFmtId="165" fontId="59" fillId="18" borderId="0" xfId="0" applyNumberFormat="1" applyFont="1" applyFill="1" applyBorder="1"/>
    <xf numFmtId="0" fontId="28" fillId="18" borderId="0" xfId="0" applyFont="1" applyFill="1"/>
    <xf numFmtId="0" fontId="22" fillId="0" borderId="0" xfId="0" applyFont="1" applyFill="1" applyProtection="1"/>
    <xf numFmtId="165" fontId="21" fillId="18" borderId="13" xfId="45" applyFont="1" applyFill="1" applyBorder="1" applyProtection="1"/>
    <xf numFmtId="165" fontId="20" fillId="24" borderId="30" xfId="45" applyFont="1" applyFill="1" applyBorder="1" applyProtection="1"/>
    <xf numFmtId="0" fontId="90" fillId="0" borderId="13" xfId="0" applyFont="1" applyBorder="1" applyProtection="1">
      <protection hidden="1"/>
    </xf>
    <xf numFmtId="43" fontId="90" fillId="0" borderId="13" xfId="0" applyNumberFormat="1" applyFont="1" applyBorder="1" applyProtection="1">
      <protection hidden="1"/>
    </xf>
    <xf numFmtId="165" fontId="20" fillId="18" borderId="13" xfId="45" applyFont="1" applyFill="1" applyBorder="1" applyProtection="1"/>
    <xf numFmtId="0" fontId="26" fillId="20" borderId="65" xfId="0" applyFont="1" applyFill="1" applyBorder="1" applyAlignment="1" applyProtection="1">
      <alignment wrapText="1"/>
    </xf>
    <xf numFmtId="43" fontId="20" fillId="18" borderId="0" xfId="0" applyNumberFormat="1" applyFont="1" applyFill="1" applyProtection="1"/>
    <xf numFmtId="0" fontId="94" fillId="18" borderId="0" xfId="0" applyFont="1" applyFill="1"/>
    <xf numFmtId="0" fontId="94" fillId="0" borderId="0" xfId="0" applyFont="1"/>
    <xf numFmtId="0" fontId="94" fillId="0" borderId="44" xfId="0" applyFont="1" applyBorder="1" applyAlignment="1">
      <alignment horizontal="center"/>
    </xf>
    <xf numFmtId="165" fontId="94" fillId="0" borderId="44" xfId="0" applyNumberFormat="1" applyFont="1" applyBorder="1" applyAlignment="1">
      <alignment horizontal="center"/>
    </xf>
    <xf numFmtId="0" fontId="94" fillId="0" borderId="50" xfId="0" applyFont="1" applyBorder="1" applyAlignment="1">
      <alignment horizontal="center"/>
    </xf>
    <xf numFmtId="0" fontId="94" fillId="0" borderId="16" xfId="0" applyFont="1" applyBorder="1"/>
    <xf numFmtId="0" fontId="1" fillId="0" borderId="15" xfId="0" applyFont="1" applyBorder="1" applyAlignment="1">
      <alignment horizontal="center"/>
    </xf>
    <xf numFmtId="0" fontId="1" fillId="0" borderId="15" xfId="0" applyFont="1" applyBorder="1"/>
    <xf numFmtId="0" fontId="1" fillId="0" borderId="37" xfId="0" applyFont="1" applyBorder="1"/>
    <xf numFmtId="0" fontId="95" fillId="18" borderId="0" xfId="0" applyFont="1" applyFill="1"/>
    <xf numFmtId="0" fontId="75" fillId="18" borderId="0" xfId="0" applyFont="1" applyFill="1" applyBorder="1" applyProtection="1">
      <protection hidden="1"/>
    </xf>
    <xf numFmtId="0" fontId="75" fillId="18" borderId="0" xfId="0" applyFont="1" applyFill="1" applyProtection="1">
      <protection hidden="1"/>
    </xf>
    <xf numFmtId="0" fontId="11" fillId="18" borderId="0" xfId="0" applyFont="1" applyFill="1" applyBorder="1" applyProtection="1">
      <protection hidden="1"/>
    </xf>
    <xf numFmtId="0" fontId="92" fillId="18" borderId="0" xfId="0" applyFont="1" applyFill="1" applyProtection="1">
      <protection hidden="1"/>
    </xf>
    <xf numFmtId="0" fontId="59" fillId="18" borderId="0" xfId="0" applyFont="1" applyFill="1" applyProtection="1">
      <protection hidden="1"/>
    </xf>
    <xf numFmtId="0" fontId="11" fillId="18" borderId="0" xfId="0" applyFont="1" applyFill="1" applyProtection="1">
      <protection hidden="1"/>
    </xf>
    <xf numFmtId="0" fontId="27" fillId="18" borderId="13" xfId="0" applyFont="1" applyFill="1" applyBorder="1" applyAlignment="1" applyProtection="1">
      <alignment horizontal="center"/>
      <protection hidden="1"/>
    </xf>
    <xf numFmtId="3" fontId="11" fillId="18" borderId="13" xfId="0" applyNumberFormat="1" applyFont="1" applyFill="1" applyBorder="1" applyProtection="1">
      <protection hidden="1"/>
    </xf>
    <xf numFmtId="3" fontId="11" fillId="18" borderId="0" xfId="0" applyNumberFormat="1" applyFont="1" applyFill="1" applyProtection="1">
      <protection hidden="1"/>
    </xf>
    <xf numFmtId="0" fontId="11" fillId="18" borderId="19" xfId="0" applyFont="1" applyFill="1" applyBorder="1" applyProtection="1">
      <protection hidden="1"/>
    </xf>
    <xf numFmtId="9" fontId="75" fillId="18" borderId="13" xfId="35" applyFont="1" applyFill="1" applyBorder="1" applyProtection="1">
      <protection hidden="1"/>
    </xf>
    <xf numFmtId="43" fontId="75" fillId="18" borderId="0" xfId="0" applyNumberFormat="1" applyFont="1" applyFill="1" applyProtection="1">
      <protection hidden="1"/>
    </xf>
    <xf numFmtId="0" fontId="75" fillId="18" borderId="19" xfId="0" applyFont="1" applyFill="1" applyBorder="1" applyProtection="1">
      <protection hidden="1"/>
    </xf>
    <xf numFmtId="43" fontId="75" fillId="18" borderId="13" xfId="0" applyNumberFormat="1" applyFont="1" applyFill="1" applyBorder="1" applyProtection="1">
      <protection hidden="1"/>
    </xf>
    <xf numFmtId="0" fontId="75" fillId="18" borderId="13" xfId="0" applyFont="1" applyFill="1" applyBorder="1" applyProtection="1">
      <protection hidden="1"/>
    </xf>
    <xf numFmtId="165" fontId="11" fillId="18" borderId="0" xfId="45" applyFont="1" applyFill="1" applyBorder="1" applyProtection="1">
      <protection hidden="1"/>
    </xf>
    <xf numFmtId="9" fontId="11" fillId="18" borderId="0" xfId="35" applyFont="1" applyFill="1" applyBorder="1" applyProtection="1">
      <protection hidden="1"/>
    </xf>
    <xf numFmtId="165" fontId="26" fillId="18" borderId="13" xfId="45" applyFont="1" applyFill="1" applyBorder="1" applyProtection="1">
      <protection hidden="1"/>
    </xf>
    <xf numFmtId="43" fontId="11" fillId="18" borderId="0" xfId="0" applyNumberFormat="1" applyFont="1" applyFill="1" applyBorder="1" applyProtection="1">
      <protection hidden="1"/>
    </xf>
    <xf numFmtId="0" fontId="75" fillId="18" borderId="69" xfId="0" applyFont="1" applyFill="1" applyBorder="1" applyAlignment="1" applyProtection="1">
      <alignment horizontal="center"/>
      <protection hidden="1"/>
    </xf>
    <xf numFmtId="165" fontId="75" fillId="18" borderId="13" xfId="0" applyNumberFormat="1" applyFont="1" applyFill="1" applyBorder="1" applyProtection="1">
      <protection hidden="1"/>
    </xf>
    <xf numFmtId="165" fontId="0" fillId="18" borderId="13" xfId="45" applyFont="1" applyFill="1" applyBorder="1"/>
    <xf numFmtId="43" fontId="75" fillId="18" borderId="40" xfId="0" applyNumberFormat="1" applyFont="1" applyFill="1" applyBorder="1" applyProtection="1">
      <protection hidden="1"/>
    </xf>
    <xf numFmtId="165" fontId="75" fillId="18" borderId="40" xfId="0" applyNumberFormat="1" applyFont="1" applyFill="1" applyBorder="1" applyProtection="1">
      <protection hidden="1"/>
    </xf>
    <xf numFmtId="165" fontId="0" fillId="18" borderId="11" xfId="45" applyFont="1" applyFill="1" applyBorder="1"/>
    <xf numFmtId="165" fontId="0" fillId="18" borderId="23" xfId="45" applyFont="1" applyFill="1" applyBorder="1"/>
    <xf numFmtId="43" fontId="75" fillId="18" borderId="11" xfId="0" applyNumberFormat="1" applyFont="1" applyFill="1" applyBorder="1" applyProtection="1">
      <protection hidden="1"/>
    </xf>
    <xf numFmtId="43" fontId="11" fillId="18" borderId="42" xfId="0" applyNumberFormat="1" applyFont="1" applyFill="1" applyBorder="1" applyProtection="1">
      <protection hidden="1"/>
    </xf>
    <xf numFmtId="165" fontId="11" fillId="18" borderId="13" xfId="45" applyFont="1" applyFill="1" applyBorder="1" applyAlignment="1">
      <alignment horizontal="center"/>
    </xf>
    <xf numFmtId="165" fontId="11" fillId="18" borderId="23" xfId="0" applyNumberFormat="1" applyFont="1" applyFill="1" applyBorder="1" applyAlignment="1" applyProtection="1">
      <alignment horizontal="center"/>
      <protection hidden="1"/>
    </xf>
    <xf numFmtId="43" fontId="11" fillId="18" borderId="65" xfId="0" applyNumberFormat="1" applyFont="1" applyFill="1" applyBorder="1" applyProtection="1">
      <protection hidden="1"/>
    </xf>
    <xf numFmtId="43" fontId="26" fillId="18" borderId="24" xfId="0" applyNumberFormat="1" applyFont="1" applyFill="1" applyBorder="1" applyProtection="1">
      <protection hidden="1"/>
    </xf>
    <xf numFmtId="165" fontId="26" fillId="18" borderId="28" xfId="45" applyFont="1" applyFill="1" applyBorder="1"/>
    <xf numFmtId="43" fontId="26" fillId="18" borderId="25" xfId="0" applyNumberFormat="1" applyFont="1" applyFill="1" applyBorder="1" applyProtection="1">
      <protection hidden="1"/>
    </xf>
    <xf numFmtId="0" fontId="1" fillId="18" borderId="19" xfId="0" applyFont="1" applyFill="1" applyBorder="1" applyAlignment="1">
      <alignment wrapText="1"/>
    </xf>
    <xf numFmtId="165" fontId="1" fillId="18" borderId="30" xfId="45" applyFont="1" applyFill="1" applyBorder="1"/>
    <xf numFmtId="0" fontId="1" fillId="18" borderId="19" xfId="0" applyFont="1" applyFill="1" applyBorder="1" applyAlignment="1">
      <alignment horizontal="left" wrapText="1"/>
    </xf>
    <xf numFmtId="165" fontId="1" fillId="18" borderId="30" xfId="45" applyFont="1" applyFill="1" applyBorder="1" applyAlignment="1">
      <alignment horizontal="center"/>
    </xf>
    <xf numFmtId="0" fontId="1" fillId="18" borderId="13" xfId="45" applyNumberFormat="1" applyFont="1" applyFill="1" applyBorder="1"/>
    <xf numFmtId="43" fontId="1" fillId="18" borderId="13" xfId="45" applyNumberFormat="1" applyFont="1" applyFill="1" applyBorder="1"/>
    <xf numFmtId="165" fontId="1" fillId="18" borderId="13" xfId="45" applyFont="1" applyFill="1" applyBorder="1" applyProtection="1">
      <protection locked="0"/>
    </xf>
    <xf numFmtId="0" fontId="1" fillId="18" borderId="18" xfId="0" applyFont="1" applyFill="1" applyBorder="1" applyAlignment="1">
      <alignment wrapText="1"/>
    </xf>
    <xf numFmtId="165" fontId="1" fillId="18" borderId="14" xfId="45" applyFont="1" applyFill="1" applyBorder="1"/>
    <xf numFmtId="165" fontId="1" fillId="18" borderId="38" xfId="45" applyFont="1" applyFill="1" applyBorder="1"/>
    <xf numFmtId="165" fontId="94" fillId="18" borderId="0" xfId="45" applyFont="1" applyFill="1"/>
    <xf numFmtId="0" fontId="1" fillId="18" borderId="45" xfId="0" applyFont="1" applyFill="1" applyBorder="1" applyAlignment="1">
      <alignment horizontal="center"/>
    </xf>
    <xf numFmtId="0" fontId="94" fillId="18" borderId="44" xfId="0" applyFont="1" applyFill="1" applyBorder="1" applyAlignment="1">
      <alignment horizontal="center"/>
    </xf>
    <xf numFmtId="0" fontId="0" fillId="18" borderId="30" xfId="0" applyFill="1" applyBorder="1"/>
    <xf numFmtId="3" fontId="0" fillId="18" borderId="30" xfId="0" applyNumberFormat="1" applyFill="1" applyBorder="1" applyAlignment="1">
      <alignment horizontal="center"/>
    </xf>
    <xf numFmtId="0" fontId="26" fillId="18" borderId="0" xfId="0" applyFont="1" applyFill="1" applyBorder="1" applyAlignment="1">
      <alignment horizontal="center"/>
    </xf>
    <xf numFmtId="0" fontId="0" fillId="18" borderId="0" xfId="0" applyFill="1" applyBorder="1" applyAlignment="1"/>
    <xf numFmtId="0" fontId="26" fillId="18" borderId="0" xfId="0" applyFont="1" applyFill="1" applyBorder="1" applyAlignment="1"/>
    <xf numFmtId="0" fontId="26" fillId="18" borderId="19" xfId="0" applyFont="1" applyFill="1" applyBorder="1" applyProtection="1">
      <protection hidden="1"/>
    </xf>
    <xf numFmtId="173" fontId="75" fillId="18" borderId="30" xfId="35" applyNumberFormat="1" applyFont="1" applyFill="1" applyBorder="1" applyProtection="1">
      <protection hidden="1"/>
    </xf>
    <xf numFmtId="0" fontId="75" fillId="18" borderId="12" xfId="0" applyFont="1" applyFill="1" applyBorder="1" applyProtection="1">
      <protection hidden="1"/>
    </xf>
    <xf numFmtId="173" fontId="75" fillId="18" borderId="30" xfId="35" applyNumberFormat="1" applyFont="1" applyFill="1" applyBorder="1" applyAlignment="1" applyProtection="1">
      <alignment horizontal="left"/>
      <protection hidden="1"/>
    </xf>
    <xf numFmtId="0" fontId="11" fillId="18" borderId="21" xfId="0" applyFont="1" applyFill="1" applyBorder="1" applyProtection="1">
      <protection hidden="1"/>
    </xf>
    <xf numFmtId="0" fontId="75" fillId="18" borderId="71" xfId="0" applyFont="1" applyFill="1" applyBorder="1" applyProtection="1">
      <protection hidden="1"/>
    </xf>
    <xf numFmtId="173" fontId="75" fillId="18" borderId="38" xfId="35" applyNumberFormat="1" applyFont="1" applyFill="1" applyBorder="1" applyAlignment="1" applyProtection="1">
      <alignment horizontal="left"/>
      <protection hidden="1"/>
    </xf>
    <xf numFmtId="0" fontId="26" fillId="18" borderId="16" xfId="0" applyFont="1" applyFill="1" applyBorder="1" applyProtection="1"/>
    <xf numFmtId="0" fontId="26" fillId="18" borderId="15" xfId="0" applyFont="1" applyFill="1" applyBorder="1" applyProtection="1"/>
    <xf numFmtId="0" fontId="26" fillId="18" borderId="37" xfId="0" applyFont="1" applyFill="1" applyBorder="1" applyProtection="1"/>
    <xf numFmtId="4" fontId="0" fillId="18" borderId="13" xfId="0" applyNumberFormat="1" applyFill="1" applyBorder="1" applyAlignment="1" applyProtection="1">
      <alignment horizontal="center"/>
    </xf>
    <xf numFmtId="4" fontId="0" fillId="18" borderId="30" xfId="0" applyNumberFormat="1" applyFill="1" applyBorder="1" applyAlignment="1" applyProtection="1">
      <alignment horizontal="center"/>
    </xf>
    <xf numFmtId="4" fontId="0" fillId="18" borderId="0" xfId="0" applyNumberFormat="1" applyFill="1" applyBorder="1" applyAlignment="1" applyProtection="1">
      <alignment horizontal="center"/>
    </xf>
    <xf numFmtId="0" fontId="0" fillId="18" borderId="18" xfId="0" applyFill="1" applyBorder="1" applyProtection="1"/>
    <xf numFmtId="0" fontId="0" fillId="18" borderId="14" xfId="0" applyFill="1" applyBorder="1" applyProtection="1"/>
    <xf numFmtId="4" fontId="0" fillId="18" borderId="14" xfId="0" applyNumberFormat="1" applyFill="1" applyBorder="1" applyAlignment="1" applyProtection="1">
      <alignment horizontal="center"/>
    </xf>
    <xf numFmtId="0" fontId="26" fillId="18" borderId="64" xfId="0" applyFont="1" applyFill="1" applyBorder="1" applyProtection="1"/>
    <xf numFmtId="0" fontId="26" fillId="18" borderId="65" xfId="0" applyFont="1" applyFill="1" applyBorder="1" applyProtection="1"/>
    <xf numFmtId="0" fontId="0" fillId="18" borderId="64" xfId="0" applyFill="1" applyBorder="1" applyProtection="1"/>
    <xf numFmtId="0" fontId="0" fillId="18" borderId="46" xfId="0" applyFill="1" applyBorder="1" applyProtection="1"/>
    <xf numFmtId="0" fontId="0" fillId="18" borderId="64" xfId="0" applyFill="1" applyBorder="1" applyAlignment="1" applyProtection="1">
      <alignment horizontal="center"/>
    </xf>
    <xf numFmtId="0" fontId="0" fillId="18" borderId="60" xfId="0" applyFill="1" applyBorder="1" applyAlignment="1" applyProtection="1">
      <alignment horizontal="center"/>
    </xf>
    <xf numFmtId="0" fontId="26" fillId="18" borderId="11" xfId="0" applyFont="1" applyFill="1" applyBorder="1" applyProtection="1"/>
    <xf numFmtId="0" fontId="26" fillId="18" borderId="26" xfId="0" applyFont="1" applyFill="1" applyBorder="1" applyProtection="1"/>
    <xf numFmtId="171" fontId="94" fillId="18" borderId="13" xfId="45" applyNumberFormat="1" applyFont="1" applyFill="1" applyBorder="1" applyProtection="1"/>
    <xf numFmtId="171" fontId="94" fillId="18" borderId="30" xfId="45" applyNumberFormat="1" applyFont="1" applyFill="1" applyBorder="1" applyProtection="1"/>
    <xf numFmtId="0" fontId="0" fillId="18" borderId="38" xfId="0" applyFill="1" applyBorder="1" applyProtection="1"/>
    <xf numFmtId="0" fontId="0" fillId="18" borderId="10" xfId="0" applyFill="1" applyBorder="1" applyAlignment="1" applyProtection="1">
      <alignment horizontal="center"/>
    </xf>
    <xf numFmtId="0" fontId="0" fillId="18" borderId="19" xfId="0" applyFill="1" applyBorder="1" applyAlignment="1" applyProtection="1">
      <alignment horizontal="right"/>
    </xf>
    <xf numFmtId="165" fontId="94" fillId="18" borderId="13" xfId="45" applyFont="1" applyFill="1" applyBorder="1" applyAlignment="1" applyProtection="1"/>
    <xf numFmtId="165" fontId="94" fillId="18" borderId="13" xfId="45" applyFont="1" applyFill="1" applyBorder="1" applyProtection="1"/>
    <xf numFmtId="172" fontId="94" fillId="18" borderId="13" xfId="45" applyNumberFormat="1" applyFont="1" applyFill="1" applyBorder="1" applyAlignment="1" applyProtection="1">
      <alignment horizontal="center"/>
    </xf>
    <xf numFmtId="165" fontId="94" fillId="18" borderId="13" xfId="45" applyFont="1" applyFill="1" applyBorder="1" applyAlignment="1" applyProtection="1">
      <alignment horizontal="center"/>
    </xf>
    <xf numFmtId="165" fontId="94" fillId="18" borderId="30" xfId="45" applyFont="1" applyFill="1" applyBorder="1" applyAlignment="1" applyProtection="1">
      <alignment horizontal="center"/>
    </xf>
    <xf numFmtId="0" fontId="11" fillId="18" borderId="18" xfId="0" applyFont="1" applyFill="1" applyBorder="1" applyAlignment="1" applyProtection="1">
      <alignment horizontal="right"/>
    </xf>
    <xf numFmtId="165" fontId="94" fillId="18" borderId="14" xfId="45" applyFont="1" applyFill="1" applyBorder="1" applyAlignment="1" applyProtection="1"/>
    <xf numFmtId="165" fontId="94" fillId="18" borderId="14" xfId="45" applyFont="1" applyFill="1" applyBorder="1" applyProtection="1"/>
    <xf numFmtId="172" fontId="94" fillId="18" borderId="14" xfId="45" applyNumberFormat="1" applyFont="1" applyFill="1" applyBorder="1" applyAlignment="1" applyProtection="1">
      <alignment horizontal="center"/>
    </xf>
    <xf numFmtId="165" fontId="94" fillId="18" borderId="14" xfId="45" applyFont="1" applyFill="1" applyBorder="1" applyAlignment="1" applyProtection="1">
      <alignment horizontal="center"/>
    </xf>
    <xf numFmtId="165" fontId="94" fillId="18" borderId="38" xfId="45" applyFont="1" applyFill="1" applyBorder="1" applyAlignment="1" applyProtection="1">
      <alignment horizontal="center"/>
    </xf>
    <xf numFmtId="0" fontId="21" fillId="18" borderId="39" xfId="0" applyFont="1" applyFill="1" applyBorder="1" applyProtection="1"/>
    <xf numFmtId="0" fontId="21" fillId="18" borderId="29" xfId="0" applyFont="1" applyFill="1" applyBorder="1" applyProtection="1"/>
    <xf numFmtId="165" fontId="21" fillId="18" borderId="35" xfId="45" applyFont="1" applyFill="1" applyBorder="1" applyProtection="1"/>
    <xf numFmtId="167" fontId="0" fillId="0" borderId="0" xfId="0" applyNumberFormat="1" applyAlignment="1">
      <alignment horizontal="center"/>
    </xf>
    <xf numFmtId="0" fontId="0" fillId="0" borderId="0" xfId="0" applyAlignment="1">
      <alignment wrapText="1"/>
    </xf>
    <xf numFmtId="0" fontId="0" fillId="0" borderId="0" xfId="0" applyAlignment="1">
      <alignment horizontal="center"/>
    </xf>
    <xf numFmtId="3" fontId="0" fillId="0" borderId="0" xfId="0" applyNumberFormat="1" applyAlignment="1">
      <alignment horizontal="center"/>
    </xf>
    <xf numFmtId="43" fontId="96" fillId="0" borderId="0" xfId="45" applyNumberFormat="1" applyFont="1" applyAlignment="1">
      <alignment horizontal="center"/>
    </xf>
    <xf numFmtId="43" fontId="96" fillId="0" borderId="0" xfId="45" applyNumberFormat="1" applyFont="1"/>
    <xf numFmtId="43" fontId="59" fillId="18" borderId="0" xfId="0" applyNumberFormat="1" applyFont="1" applyFill="1" applyProtection="1">
      <protection hidden="1"/>
    </xf>
    <xf numFmtId="0" fontId="64" fillId="18" borderId="13" xfId="0" applyFont="1" applyFill="1" applyBorder="1" applyAlignment="1" applyProtection="1">
      <alignment wrapText="1"/>
      <protection hidden="1"/>
    </xf>
    <xf numFmtId="165" fontId="75" fillId="18" borderId="0" xfId="45" applyFont="1" applyFill="1" applyBorder="1" applyProtection="1">
      <protection hidden="1"/>
    </xf>
    <xf numFmtId="165" fontId="27" fillId="18" borderId="0" xfId="45" applyFont="1" applyFill="1" applyBorder="1" applyProtection="1">
      <protection hidden="1"/>
    </xf>
    <xf numFmtId="0" fontId="37" fillId="18" borderId="0" xfId="0" applyFont="1" applyFill="1" applyBorder="1" applyProtection="1">
      <protection hidden="1"/>
    </xf>
    <xf numFmtId="0" fontId="52" fillId="18" borderId="0" xfId="0" applyFont="1" applyFill="1" applyProtection="1">
      <protection hidden="1"/>
    </xf>
    <xf numFmtId="9" fontId="75" fillId="18" borderId="30" xfId="35" applyNumberFormat="1" applyFont="1" applyFill="1" applyBorder="1" applyProtection="1">
      <protection hidden="1"/>
    </xf>
    <xf numFmtId="175" fontId="75" fillId="18" borderId="13" xfId="0" applyNumberFormat="1" applyFont="1" applyFill="1" applyBorder="1" applyProtection="1">
      <protection hidden="1"/>
    </xf>
    <xf numFmtId="0" fontId="75" fillId="0" borderId="0" xfId="0" applyFont="1" applyFill="1" applyBorder="1" applyProtection="1">
      <protection hidden="1"/>
    </xf>
    <xf numFmtId="165" fontId="37" fillId="0" borderId="13" xfId="45" applyFont="1" applyFill="1" applyBorder="1" applyProtection="1">
      <protection hidden="1"/>
    </xf>
    <xf numFmtId="0" fontId="27" fillId="18" borderId="27" xfId="0" applyFont="1" applyFill="1" applyBorder="1" applyAlignment="1" applyProtection="1">
      <alignment horizontal="center"/>
      <protection hidden="1"/>
    </xf>
    <xf numFmtId="0" fontId="11" fillId="18" borderId="27" xfId="0" applyFont="1" applyFill="1" applyBorder="1" applyAlignment="1" applyProtection="1">
      <alignment wrapText="1"/>
      <protection hidden="1"/>
    </xf>
    <xf numFmtId="0" fontId="37" fillId="0" borderId="16" xfId="0" applyFont="1" applyFill="1" applyBorder="1" applyProtection="1">
      <protection hidden="1"/>
    </xf>
    <xf numFmtId="165" fontId="37" fillId="0" borderId="15" xfId="45" applyFont="1" applyFill="1" applyBorder="1" applyProtection="1">
      <protection hidden="1"/>
    </xf>
    <xf numFmtId="0" fontId="37" fillId="0" borderId="18" xfId="0" applyFont="1" applyFill="1" applyBorder="1" applyProtection="1">
      <protection hidden="1"/>
    </xf>
    <xf numFmtId="0" fontId="37" fillId="0" borderId="19" xfId="0" applyFont="1" applyFill="1" applyBorder="1" applyProtection="1">
      <protection hidden="1"/>
    </xf>
    <xf numFmtId="165" fontId="37" fillId="0" borderId="14" xfId="0" applyNumberFormat="1" applyFont="1" applyFill="1" applyBorder="1" applyProtection="1">
      <protection hidden="1"/>
    </xf>
    <xf numFmtId="165" fontId="37" fillId="18" borderId="0" xfId="45" applyFont="1" applyFill="1" applyBorder="1" applyProtection="1">
      <protection hidden="1"/>
    </xf>
    <xf numFmtId="0" fontId="11" fillId="18" borderId="11" xfId="0" applyFont="1" applyFill="1" applyBorder="1" applyAlignment="1" applyProtection="1">
      <alignment horizontal="center"/>
      <protection hidden="1"/>
    </xf>
    <xf numFmtId="0" fontId="27" fillId="18" borderId="13" xfId="0" applyFont="1" applyFill="1" applyBorder="1" applyAlignment="1" applyProtection="1">
      <alignment shrinkToFit="1"/>
      <protection hidden="1"/>
    </xf>
    <xf numFmtId="3" fontId="27" fillId="18" borderId="13" xfId="0" applyNumberFormat="1" applyFont="1" applyFill="1" applyBorder="1" applyAlignment="1" applyProtection="1">
      <alignment shrinkToFit="1"/>
      <protection hidden="1"/>
    </xf>
    <xf numFmtId="0" fontId="80" fillId="18" borderId="0" xfId="0" applyFont="1" applyFill="1" applyBorder="1" applyAlignment="1" applyProtection="1">
      <alignment horizontal="center" shrinkToFit="1"/>
      <protection hidden="1"/>
    </xf>
    <xf numFmtId="0" fontId="27" fillId="18" borderId="0" xfId="0" applyFont="1" applyFill="1" applyBorder="1" applyAlignment="1" applyProtection="1">
      <alignment horizontal="center"/>
      <protection hidden="1"/>
    </xf>
    <xf numFmtId="3" fontId="11" fillId="18" borderId="0" xfId="0" applyNumberFormat="1" applyFont="1" applyFill="1" applyBorder="1" applyProtection="1">
      <protection hidden="1"/>
    </xf>
    <xf numFmtId="3" fontId="27" fillId="18" borderId="0" xfId="0" applyNumberFormat="1" applyFont="1" applyFill="1" applyBorder="1" applyAlignment="1" applyProtection="1">
      <alignment shrinkToFit="1"/>
      <protection hidden="1"/>
    </xf>
    <xf numFmtId="43" fontId="75" fillId="18" borderId="0" xfId="0" applyNumberFormat="1" applyFont="1" applyFill="1" applyBorder="1" applyProtection="1">
      <protection hidden="1"/>
    </xf>
    <xf numFmtId="0" fontId="26" fillId="18" borderId="0" xfId="0" applyFont="1" applyFill="1" applyBorder="1" applyProtection="1">
      <protection hidden="1"/>
    </xf>
    <xf numFmtId="173" fontId="75" fillId="18" borderId="0" xfId="35" applyNumberFormat="1" applyFont="1" applyFill="1" applyBorder="1" applyAlignment="1" applyProtection="1">
      <alignment horizontal="left"/>
      <protection hidden="1"/>
    </xf>
    <xf numFmtId="0" fontId="75" fillId="18" borderId="14" xfId="0" applyFont="1" applyFill="1" applyBorder="1" applyProtection="1">
      <protection hidden="1"/>
    </xf>
    <xf numFmtId="0" fontId="75" fillId="18" borderId="38" xfId="0" applyFont="1" applyFill="1" applyBorder="1" applyProtection="1">
      <protection hidden="1"/>
    </xf>
    <xf numFmtId="173" fontId="29" fillId="0" borderId="48" xfId="0" applyNumberFormat="1" applyFont="1" applyFill="1" applyBorder="1" applyAlignment="1" applyProtection="1">
      <protection hidden="1"/>
    </xf>
    <xf numFmtId="165" fontId="75" fillId="0" borderId="21" xfId="45" applyFont="1" applyFill="1" applyBorder="1" applyProtection="1">
      <protection hidden="1"/>
    </xf>
    <xf numFmtId="0" fontId="75" fillId="0" borderId="11" xfId="0" applyFont="1" applyFill="1" applyBorder="1" applyAlignment="1" applyProtection="1">
      <alignment wrapText="1"/>
      <protection hidden="1"/>
    </xf>
    <xf numFmtId="0" fontId="11" fillId="0" borderId="11" xfId="0" applyFont="1" applyFill="1" applyBorder="1" applyAlignment="1" applyProtection="1">
      <alignment horizontal="center"/>
      <protection hidden="1"/>
    </xf>
    <xf numFmtId="9" fontId="11" fillId="0" borderId="26" xfId="35" applyFont="1" applyFill="1" applyBorder="1" applyProtection="1">
      <protection hidden="1"/>
    </xf>
    <xf numFmtId="173" fontId="75" fillId="0" borderId="13" xfId="35" applyNumberFormat="1" applyFont="1" applyFill="1" applyBorder="1" applyProtection="1">
      <protection hidden="1"/>
    </xf>
    <xf numFmtId="0" fontId="75" fillId="0" borderId="38" xfId="0" applyFont="1" applyFill="1" applyBorder="1" applyProtection="1">
      <protection hidden="1"/>
    </xf>
    <xf numFmtId="173" fontId="26" fillId="0" borderId="37" xfId="35" applyNumberFormat="1" applyFont="1" applyFill="1" applyBorder="1" applyAlignment="1" applyProtection="1">
      <alignment horizontal="left"/>
      <protection hidden="1"/>
    </xf>
    <xf numFmtId="173" fontId="26" fillId="0" borderId="30" xfId="35" applyNumberFormat="1" applyFont="1" applyFill="1" applyBorder="1" applyAlignment="1" applyProtection="1">
      <alignment horizontal="left"/>
      <protection hidden="1"/>
    </xf>
    <xf numFmtId="173" fontId="26" fillId="0" borderId="38" xfId="35" applyNumberFormat="1" applyFont="1" applyFill="1" applyBorder="1" applyAlignment="1" applyProtection="1">
      <alignment horizontal="left"/>
      <protection hidden="1"/>
    </xf>
    <xf numFmtId="0" fontId="29" fillId="18" borderId="35" xfId="0" applyFont="1" applyFill="1" applyBorder="1" applyAlignment="1" applyProtection="1">
      <alignment horizontal="center"/>
      <protection hidden="1"/>
    </xf>
    <xf numFmtId="165" fontId="75" fillId="18" borderId="16" xfId="45" applyFont="1" applyFill="1" applyBorder="1" applyProtection="1">
      <protection hidden="1"/>
    </xf>
    <xf numFmtId="0" fontId="75" fillId="18" borderId="15" xfId="0" applyFont="1" applyFill="1" applyBorder="1" applyAlignment="1" applyProtection="1">
      <alignment wrapText="1"/>
      <protection hidden="1"/>
    </xf>
    <xf numFmtId="0" fontId="11" fillId="18" borderId="15" xfId="0" applyFont="1" applyFill="1" applyBorder="1" applyAlignment="1" applyProtection="1">
      <alignment horizontal="center"/>
      <protection hidden="1"/>
    </xf>
    <xf numFmtId="9" fontId="11" fillId="18" borderId="37" xfId="35" applyFont="1" applyFill="1" applyBorder="1" applyProtection="1">
      <protection hidden="1"/>
    </xf>
    <xf numFmtId="165" fontId="75" fillId="18" borderId="19" xfId="45" applyFont="1" applyFill="1" applyBorder="1" applyProtection="1">
      <protection hidden="1"/>
    </xf>
    <xf numFmtId="165" fontId="75" fillId="18" borderId="18" xfId="45" applyFont="1" applyFill="1" applyBorder="1" applyProtection="1">
      <protection hidden="1"/>
    </xf>
    <xf numFmtId="0" fontId="26" fillId="18" borderId="72" xfId="0" applyFont="1" applyFill="1" applyBorder="1" applyProtection="1">
      <protection hidden="1"/>
    </xf>
    <xf numFmtId="0" fontId="75" fillId="18" borderId="73" xfId="0" applyFont="1" applyFill="1" applyBorder="1" applyProtection="1">
      <protection hidden="1"/>
    </xf>
    <xf numFmtId="0" fontId="75" fillId="18" borderId="73" xfId="0" applyFont="1" applyFill="1" applyBorder="1" applyAlignment="1" applyProtection="1">
      <alignment horizontal="left"/>
      <protection hidden="1"/>
    </xf>
    <xf numFmtId="0" fontId="75" fillId="18" borderId="73" xfId="0" applyFont="1" applyFill="1" applyBorder="1" applyAlignment="1" applyProtection="1">
      <alignment horizontal="right" indent="1"/>
      <protection hidden="1"/>
    </xf>
    <xf numFmtId="0" fontId="26" fillId="18" borderId="73" xfId="0" applyFont="1" applyFill="1" applyBorder="1" applyProtection="1">
      <protection hidden="1"/>
    </xf>
    <xf numFmtId="0" fontId="26" fillId="18" borderId="73" xfId="0" applyFont="1" applyFill="1" applyBorder="1" applyAlignment="1" applyProtection="1">
      <protection hidden="1"/>
    </xf>
    <xf numFmtId="0" fontId="75" fillId="18" borderId="74" xfId="0" applyFont="1" applyFill="1" applyBorder="1" applyProtection="1">
      <protection hidden="1"/>
    </xf>
    <xf numFmtId="165" fontId="75" fillId="0" borderId="19" xfId="45" applyFont="1" applyFill="1" applyBorder="1" applyProtection="1">
      <protection hidden="1"/>
    </xf>
    <xf numFmtId="171" fontId="75" fillId="0" borderId="13" xfId="45" applyNumberFormat="1" applyFont="1" applyFill="1" applyBorder="1" applyProtection="1">
      <protection hidden="1"/>
    </xf>
    <xf numFmtId="173" fontId="75" fillId="0" borderId="30" xfId="35" applyNumberFormat="1" applyFont="1" applyFill="1" applyBorder="1" applyProtection="1">
      <protection hidden="1"/>
    </xf>
    <xf numFmtId="43" fontId="74" fillId="18" borderId="0" xfId="0" applyNumberFormat="1" applyFont="1" applyFill="1" applyBorder="1" applyProtection="1">
      <protection hidden="1"/>
    </xf>
    <xf numFmtId="0" fontId="59" fillId="18" borderId="0" xfId="0" applyFont="1" applyFill="1" applyBorder="1" applyProtection="1">
      <protection hidden="1"/>
    </xf>
    <xf numFmtId="43" fontId="59" fillId="18" borderId="0" xfId="0" applyNumberFormat="1" applyFont="1" applyFill="1" applyBorder="1" applyProtection="1">
      <protection hidden="1"/>
    </xf>
    <xf numFmtId="0" fontId="26" fillId="18" borderId="16" xfId="0" applyFont="1" applyFill="1" applyBorder="1" applyProtection="1">
      <protection hidden="1"/>
    </xf>
    <xf numFmtId="165" fontId="26" fillId="18" borderId="15" xfId="45" applyFont="1" applyFill="1" applyBorder="1" applyProtection="1">
      <protection hidden="1"/>
    </xf>
    <xf numFmtId="9" fontId="26" fillId="18" borderId="33" xfId="35" applyFont="1" applyFill="1" applyBorder="1" applyProtection="1">
      <protection hidden="1"/>
    </xf>
    <xf numFmtId="9" fontId="26" fillId="18" borderId="60" xfId="35" applyFont="1" applyFill="1" applyBorder="1" applyProtection="1">
      <protection hidden="1"/>
    </xf>
    <xf numFmtId="0" fontId="75" fillId="18" borderId="75" xfId="0" applyFont="1" applyFill="1" applyBorder="1" applyProtection="1">
      <protection hidden="1"/>
    </xf>
    <xf numFmtId="165" fontId="75" fillId="18" borderId="66" xfId="45" applyFont="1" applyFill="1" applyBorder="1" applyProtection="1">
      <protection hidden="1"/>
    </xf>
    <xf numFmtId="9" fontId="26" fillId="18" borderId="76" xfId="35" applyFont="1" applyFill="1" applyBorder="1" applyProtection="1">
      <protection hidden="1"/>
    </xf>
    <xf numFmtId="43" fontId="11" fillId="18" borderId="0" xfId="0" applyNumberFormat="1" applyFont="1" applyFill="1" applyBorder="1" applyAlignment="1" applyProtection="1">
      <alignment horizontal="center"/>
      <protection hidden="1"/>
    </xf>
    <xf numFmtId="3" fontId="75" fillId="18" borderId="0" xfId="0" applyNumberFormat="1" applyFont="1" applyFill="1" applyBorder="1" applyProtection="1">
      <protection hidden="1"/>
    </xf>
    <xf numFmtId="165" fontId="0" fillId="18" borderId="0" xfId="45" applyFont="1" applyFill="1" applyBorder="1"/>
    <xf numFmtId="0" fontId="26" fillId="18" borderId="21" xfId="0" applyFont="1" applyFill="1" applyBorder="1" applyAlignment="1" applyProtection="1">
      <alignment horizontal="center"/>
      <protection hidden="1"/>
    </xf>
    <xf numFmtId="0" fontId="11" fillId="18" borderId="11" xfId="0" applyFont="1" applyFill="1" applyBorder="1" applyProtection="1">
      <protection hidden="1"/>
    </xf>
    <xf numFmtId="165" fontId="27" fillId="18" borderId="61" xfId="45" applyFont="1" applyFill="1" applyBorder="1" applyProtection="1">
      <protection hidden="1"/>
    </xf>
    <xf numFmtId="43" fontId="75" fillId="18" borderId="27" xfId="0" applyNumberFormat="1" applyFont="1" applyFill="1" applyBorder="1" applyProtection="1">
      <protection hidden="1"/>
    </xf>
    <xf numFmtId="43" fontId="74" fillId="18" borderId="66" xfId="0" applyNumberFormat="1" applyFont="1" applyFill="1" applyBorder="1" applyProtection="1">
      <protection hidden="1"/>
    </xf>
    <xf numFmtId="175" fontId="26" fillId="18" borderId="35" xfId="0" applyNumberFormat="1" applyFont="1" applyFill="1" applyBorder="1" applyProtection="1">
      <protection hidden="1"/>
    </xf>
    <xf numFmtId="165" fontId="75" fillId="0" borderId="61" xfId="45" applyFont="1" applyFill="1" applyBorder="1" applyProtection="1">
      <protection hidden="1"/>
    </xf>
    <xf numFmtId="173" fontId="75" fillId="0" borderId="27" xfId="35" applyNumberFormat="1" applyFont="1" applyFill="1" applyBorder="1" applyProtection="1">
      <protection hidden="1"/>
    </xf>
    <xf numFmtId="171" fontId="75" fillId="0" borderId="23" xfId="45" applyNumberFormat="1" applyFont="1" applyFill="1" applyBorder="1" applyProtection="1">
      <protection hidden="1"/>
    </xf>
    <xf numFmtId="171" fontId="26" fillId="0" borderId="35" xfId="45" applyNumberFormat="1" applyFont="1" applyFill="1" applyBorder="1" applyProtection="1">
      <protection hidden="1"/>
    </xf>
    <xf numFmtId="9" fontId="75" fillId="18" borderId="27" xfId="35" applyFont="1" applyFill="1" applyBorder="1" applyProtection="1">
      <protection hidden="1"/>
    </xf>
    <xf numFmtId="175" fontId="75" fillId="18" borderId="23" xfId="0" applyNumberFormat="1" applyFont="1" applyFill="1" applyBorder="1" applyProtection="1">
      <protection hidden="1"/>
    </xf>
    <xf numFmtId="175" fontId="74" fillId="18" borderId="64" xfId="0" applyNumberFormat="1" applyFont="1" applyFill="1" applyBorder="1" applyProtection="1">
      <protection hidden="1"/>
    </xf>
    <xf numFmtId="171" fontId="75" fillId="0" borderId="64" xfId="45" applyNumberFormat="1" applyFont="1" applyFill="1" applyBorder="1" applyProtection="1">
      <protection hidden="1"/>
    </xf>
    <xf numFmtId="175" fontId="75" fillId="18" borderId="11" xfId="0" applyNumberFormat="1" applyFont="1" applyFill="1" applyBorder="1" applyProtection="1">
      <protection hidden="1"/>
    </xf>
    <xf numFmtId="171" fontId="75" fillId="0" borderId="11" xfId="45" applyNumberFormat="1" applyFont="1" applyFill="1" applyBorder="1" applyProtection="1">
      <protection hidden="1"/>
    </xf>
    <xf numFmtId="177" fontId="0" fillId="18" borderId="14" xfId="0" applyNumberFormat="1" applyFill="1" applyBorder="1" applyAlignment="1" applyProtection="1">
      <alignment horizontal="center"/>
    </xf>
    <xf numFmtId="177" fontId="0" fillId="18" borderId="38" xfId="0" applyNumberFormat="1" applyFill="1" applyBorder="1" applyAlignment="1" applyProtection="1">
      <alignment horizontal="center"/>
    </xf>
    <xf numFmtId="177" fontId="0" fillId="18" borderId="13" xfId="0" applyNumberFormat="1" applyFill="1" applyBorder="1" applyAlignment="1" applyProtection="1">
      <alignment horizontal="center"/>
    </xf>
    <xf numFmtId="177" fontId="0" fillId="18" borderId="30" xfId="0" applyNumberFormat="1" applyFill="1" applyBorder="1" applyAlignment="1" applyProtection="1">
      <alignment horizontal="center"/>
    </xf>
    <xf numFmtId="0" fontId="11" fillId="19" borderId="14" xfId="0" applyFont="1" applyFill="1" applyBorder="1" applyProtection="1">
      <protection locked="0"/>
    </xf>
    <xf numFmtId="165" fontId="75" fillId="18" borderId="23" xfId="0" applyNumberFormat="1" applyFont="1" applyFill="1" applyBorder="1" applyProtection="1">
      <protection hidden="1"/>
    </xf>
    <xf numFmtId="165" fontId="26" fillId="18" borderId="35" xfId="0" applyNumberFormat="1" applyFont="1" applyFill="1" applyBorder="1" applyProtection="1">
      <protection hidden="1"/>
    </xf>
    <xf numFmtId="165" fontId="26" fillId="18" borderId="55" xfId="0" applyNumberFormat="1" applyFont="1" applyFill="1" applyBorder="1" applyProtection="1">
      <protection hidden="1"/>
    </xf>
    <xf numFmtId="173" fontId="26" fillId="18" borderId="35" xfId="35" applyNumberFormat="1" applyFont="1" applyFill="1" applyBorder="1" applyProtection="1">
      <protection hidden="1"/>
    </xf>
    <xf numFmtId="173" fontId="26" fillId="18" borderId="35" xfId="35" applyNumberFormat="1" applyFont="1" applyFill="1" applyBorder="1"/>
    <xf numFmtId="165" fontId="75" fillId="18" borderId="11" xfId="0" applyNumberFormat="1" applyFont="1" applyFill="1" applyBorder="1" applyProtection="1">
      <protection hidden="1"/>
    </xf>
    <xf numFmtId="43" fontId="75" fillId="18" borderId="42" xfId="0" applyNumberFormat="1" applyFont="1" applyFill="1" applyBorder="1" applyProtection="1">
      <protection hidden="1"/>
    </xf>
    <xf numFmtId="173" fontId="75" fillId="18" borderId="26" xfId="35" applyNumberFormat="1" applyFont="1" applyFill="1" applyBorder="1" applyAlignment="1" applyProtection="1">
      <alignment horizontal="left"/>
      <protection hidden="1"/>
    </xf>
    <xf numFmtId="0" fontId="26" fillId="18" borderId="24" xfId="0" applyFont="1" applyFill="1" applyBorder="1" applyAlignment="1" applyProtection="1">
      <alignment horizontal="center"/>
      <protection hidden="1"/>
    </xf>
    <xf numFmtId="0" fontId="26" fillId="18" borderId="28" xfId="0" applyFont="1" applyFill="1" applyBorder="1" applyAlignment="1" applyProtection="1">
      <alignment horizontal="center"/>
      <protection hidden="1"/>
    </xf>
    <xf numFmtId="0" fontId="26" fillId="18" borderId="25" xfId="0" applyFont="1" applyFill="1" applyBorder="1" applyProtection="1">
      <protection hidden="1"/>
    </xf>
    <xf numFmtId="0" fontId="26" fillId="18" borderId="48" xfId="0" applyFont="1" applyFill="1" applyBorder="1" applyProtection="1">
      <protection hidden="1"/>
    </xf>
    <xf numFmtId="173" fontId="26" fillId="0" borderId="35" xfId="35" applyNumberFormat="1" applyFont="1" applyBorder="1"/>
    <xf numFmtId="165" fontId="75" fillId="18" borderId="0" xfId="45" applyFont="1" applyFill="1" applyBorder="1" applyAlignment="1" applyProtection="1">
      <alignment horizontal="left"/>
      <protection hidden="1"/>
    </xf>
    <xf numFmtId="171" fontId="75" fillId="18" borderId="0" xfId="45" applyNumberFormat="1" applyFont="1" applyFill="1" applyBorder="1" applyAlignment="1" applyProtection="1">
      <alignment horizontal="left"/>
      <protection hidden="1"/>
    </xf>
    <xf numFmtId="167" fontId="0" fillId="0" borderId="0" xfId="0" applyNumberFormat="1" applyFill="1" applyAlignment="1">
      <alignment horizontal="center"/>
    </xf>
    <xf numFmtId="0" fontId="50" fillId="0" borderId="0" xfId="0" applyFont="1" applyFill="1" applyAlignment="1">
      <alignment wrapText="1"/>
    </xf>
    <xf numFmtId="0" fontId="0" fillId="0" borderId="0" xfId="0" applyFill="1" applyAlignment="1">
      <alignment horizontal="center"/>
    </xf>
    <xf numFmtId="3" fontId="0" fillId="0" borderId="0" xfId="0" applyNumberFormat="1" applyFill="1" applyAlignment="1">
      <alignment horizontal="center"/>
    </xf>
    <xf numFmtId="43" fontId="96" fillId="0" borderId="13" xfId="45" applyNumberFormat="1" applyFont="1" applyFill="1" applyBorder="1" applyAlignment="1">
      <alignment horizontal="center"/>
    </xf>
    <xf numFmtId="43" fontId="96" fillId="0" borderId="13" xfId="45" applyNumberFormat="1" applyFont="1" applyFill="1" applyBorder="1"/>
    <xf numFmtId="3" fontId="0" fillId="0" borderId="13" xfId="0" applyNumberFormat="1" applyFill="1" applyBorder="1" applyAlignment="1">
      <alignment horizontal="center"/>
    </xf>
    <xf numFmtId="176" fontId="0" fillId="0" borderId="13" xfId="0" applyNumberFormat="1" applyFill="1" applyBorder="1"/>
    <xf numFmtId="43" fontId="50" fillId="0" borderId="0" xfId="0" applyNumberFormat="1" applyFont="1" applyFill="1" applyAlignment="1">
      <alignment wrapText="1"/>
    </xf>
    <xf numFmtId="0" fontId="0" fillId="0" borderId="0" xfId="0" applyFill="1" applyAlignment="1">
      <alignment wrapText="1"/>
    </xf>
    <xf numFmtId="43" fontId="96" fillId="0" borderId="0" xfId="45" applyNumberFormat="1" applyFont="1" applyFill="1" applyAlignment="1">
      <alignment horizontal="center"/>
    </xf>
    <xf numFmtId="43" fontId="96" fillId="0" borderId="0" xfId="45" applyNumberFormat="1" applyFont="1" applyFill="1"/>
    <xf numFmtId="0" fontId="21" fillId="22" borderId="39" xfId="0" applyFont="1" applyFill="1" applyBorder="1" applyAlignment="1" applyProtection="1">
      <alignment horizontal="center"/>
    </xf>
    <xf numFmtId="0" fontId="21" fillId="22" borderId="17" xfId="0" applyFont="1" applyFill="1" applyBorder="1" applyAlignment="1" applyProtection="1">
      <alignment horizontal="center"/>
    </xf>
    <xf numFmtId="0" fontId="89" fillId="18" borderId="0" xfId="0" applyFont="1" applyFill="1"/>
    <xf numFmtId="0" fontId="0" fillId="0" borderId="0" xfId="0" applyBorder="1" applyProtection="1">
      <protection locked="0"/>
    </xf>
    <xf numFmtId="0" fontId="26" fillId="0" borderId="32" xfId="0" applyFont="1" applyBorder="1" applyAlignment="1" applyProtection="1">
      <alignment horizontal="center"/>
    </xf>
    <xf numFmtId="0" fontId="80" fillId="0" borderId="0" xfId="0" applyFont="1" applyAlignment="1" applyProtection="1">
      <alignment textRotation="90"/>
    </xf>
    <xf numFmtId="0" fontId="0" fillId="0" borderId="0" xfId="0" applyFill="1" applyProtection="1">
      <protection locked="0"/>
    </xf>
    <xf numFmtId="0" fontId="21" fillId="0" borderId="69" xfId="0" applyFont="1" applyFill="1" applyBorder="1" applyProtection="1"/>
    <xf numFmtId="0" fontId="21" fillId="0" borderId="77" xfId="0" applyFont="1" applyFill="1" applyBorder="1" applyAlignment="1" applyProtection="1">
      <alignment horizontal="center"/>
    </xf>
    <xf numFmtId="0" fontId="0" fillId="0" borderId="11" xfId="0" applyFill="1" applyBorder="1"/>
    <xf numFmtId="169" fontId="98" fillId="0" borderId="58" xfId="45" applyNumberFormat="1" applyFont="1" applyFill="1" applyBorder="1" applyAlignment="1" applyProtection="1">
      <alignment horizontal="left" vertical="center"/>
    </xf>
    <xf numFmtId="169" fontId="80" fillId="0" borderId="12" xfId="0" applyNumberFormat="1" applyFont="1" applyFill="1" applyBorder="1" applyProtection="1"/>
    <xf numFmtId="0" fontId="21" fillId="0" borderId="61" xfId="0" applyFont="1" applyFill="1" applyBorder="1" applyProtection="1"/>
    <xf numFmtId="0" fontId="21" fillId="0" borderId="73" xfId="0" applyFont="1" applyFill="1" applyBorder="1" applyAlignment="1" applyProtection="1">
      <alignment horizontal="center"/>
    </xf>
    <xf numFmtId="0" fontId="0" fillId="0" borderId="13" xfId="0" applyFill="1" applyBorder="1"/>
    <xf numFmtId="169" fontId="98" fillId="0" borderId="27" xfId="45" applyNumberFormat="1" applyFont="1" applyFill="1" applyBorder="1" applyAlignment="1" applyProtection="1">
      <alignment horizontal="left" vertical="center"/>
    </xf>
    <xf numFmtId="169" fontId="98" fillId="0" borderId="59" xfId="45" applyNumberFormat="1" applyFont="1" applyFill="1" applyBorder="1" applyAlignment="1" applyProtection="1">
      <alignment horizontal="left" vertical="center"/>
    </xf>
    <xf numFmtId="0" fontId="21" fillId="0" borderId="78" xfId="0" applyFont="1" applyFill="1" applyBorder="1" applyProtection="1"/>
    <xf numFmtId="0" fontId="21" fillId="0" borderId="79" xfId="0" applyFont="1" applyFill="1" applyBorder="1" applyAlignment="1" applyProtection="1">
      <alignment horizontal="center"/>
    </xf>
    <xf numFmtId="0" fontId="0" fillId="0" borderId="23" xfId="0" applyFill="1" applyBorder="1"/>
    <xf numFmtId="3" fontId="26" fillId="23" borderId="19" xfId="0" applyNumberFormat="1" applyFont="1" applyFill="1" applyBorder="1" applyProtection="1"/>
    <xf numFmtId="3" fontId="26" fillId="31" borderId="13" xfId="0" applyNumberFormat="1" applyFont="1" applyFill="1" applyBorder="1" applyAlignment="1" applyProtection="1">
      <alignment horizontal="center"/>
    </xf>
    <xf numFmtId="3" fontId="26" fillId="23" borderId="13" xfId="0" applyNumberFormat="1" applyFont="1" applyFill="1" applyBorder="1" applyProtection="1"/>
    <xf numFmtId="169" fontId="0" fillId="31" borderId="80" xfId="45" applyNumberFormat="1" applyFont="1" applyFill="1" applyBorder="1" applyProtection="1"/>
    <xf numFmtId="3" fontId="25" fillId="0" borderId="48" xfId="45" applyNumberFormat="1" applyFont="1" applyFill="1" applyBorder="1" applyProtection="1"/>
    <xf numFmtId="169" fontId="0" fillId="0" borderId="0" xfId="0" applyNumberFormat="1" applyProtection="1"/>
    <xf numFmtId="3" fontId="25" fillId="0" borderId="60" xfId="45" applyNumberFormat="1" applyFont="1" applyFill="1" applyBorder="1" applyProtection="1"/>
    <xf numFmtId="167" fontId="0" fillId="0" borderId="0" xfId="0" applyNumberFormat="1" applyProtection="1">
      <protection locked="0"/>
    </xf>
    <xf numFmtId="167" fontId="0" fillId="0" borderId="0" xfId="0" applyNumberFormat="1" applyProtection="1"/>
    <xf numFmtId="0" fontId="0" fillId="0" borderId="0" xfId="0" applyBorder="1" applyAlignment="1" applyProtection="1">
      <alignment wrapText="1"/>
      <protection locked="0"/>
    </xf>
    <xf numFmtId="3" fontId="0" fillId="0" borderId="0" xfId="0" applyNumberFormat="1" applyProtection="1">
      <protection locked="0"/>
    </xf>
    <xf numFmtId="0" fontId="21" fillId="0" borderId="0" xfId="0" applyFont="1" applyFill="1" applyBorder="1" applyProtection="1"/>
    <xf numFmtId="0" fontId="21" fillId="0" borderId="0" xfId="0" applyFont="1" applyFill="1" applyBorder="1" applyAlignment="1" applyProtection="1">
      <alignment horizontal="center"/>
    </xf>
    <xf numFmtId="169" fontId="98" fillId="23" borderId="51" xfId="0" applyNumberFormat="1" applyFont="1" applyFill="1" applyBorder="1" applyProtection="1"/>
    <xf numFmtId="0" fontId="0" fillId="0" borderId="50" xfId="0" applyBorder="1" applyProtection="1"/>
    <xf numFmtId="0" fontId="21" fillId="20" borderId="70" xfId="0" applyFont="1" applyFill="1" applyBorder="1" applyProtection="1"/>
    <xf numFmtId="0" fontId="21" fillId="20" borderId="72" xfId="0" applyFont="1" applyFill="1" applyBorder="1" applyAlignment="1" applyProtection="1">
      <alignment horizontal="center"/>
    </xf>
    <xf numFmtId="0" fontId="21" fillId="20" borderId="39" xfId="0" applyFont="1" applyFill="1" applyBorder="1" applyProtection="1"/>
    <xf numFmtId="0" fontId="21" fillId="20" borderId="35" xfId="0" applyFont="1" applyFill="1" applyBorder="1" applyAlignment="1" applyProtection="1">
      <alignment horizontal="center"/>
    </xf>
    <xf numFmtId="0" fontId="21" fillId="22" borderId="17" xfId="0" applyFont="1" applyFill="1" applyBorder="1" applyProtection="1"/>
    <xf numFmtId="0" fontId="26" fillId="32" borderId="17" xfId="0" applyFont="1" applyFill="1" applyBorder="1" applyAlignment="1">
      <alignment horizontal="center"/>
    </xf>
    <xf numFmtId="169" fontId="98" fillId="23" borderId="17" xfId="45" applyNumberFormat="1" applyFont="1" applyFill="1" applyBorder="1" applyAlignment="1" applyProtection="1">
      <alignment horizontal="left" vertical="center"/>
    </xf>
    <xf numFmtId="3" fontId="26" fillId="23" borderId="22" xfId="0" applyNumberFormat="1" applyFont="1" applyFill="1" applyBorder="1" applyProtection="1"/>
    <xf numFmtId="3" fontId="26" fillId="31" borderId="23" xfId="0" applyNumberFormat="1" applyFont="1" applyFill="1" applyBorder="1" applyAlignment="1" applyProtection="1">
      <alignment horizontal="center"/>
    </xf>
    <xf numFmtId="3" fontId="26" fillId="23" borderId="23" xfId="0" applyNumberFormat="1" applyFont="1" applyFill="1" applyBorder="1" applyProtection="1"/>
    <xf numFmtId="169" fontId="0" fillId="31" borderId="46" xfId="45" applyNumberFormat="1" applyFont="1" applyFill="1" applyBorder="1" applyProtection="1"/>
    <xf numFmtId="169" fontId="98" fillId="24" borderId="0" xfId="45" applyNumberFormat="1" applyFont="1" applyFill="1" applyBorder="1" applyAlignment="1" applyProtection="1">
      <alignment horizontal="center" vertical="center"/>
    </xf>
    <xf numFmtId="169" fontId="98" fillId="24" borderId="50" xfId="0" applyNumberFormat="1" applyFont="1" applyFill="1" applyBorder="1" applyAlignment="1" applyProtection="1">
      <alignment horizontal="center" vertical="center"/>
    </xf>
    <xf numFmtId="169" fontId="98" fillId="24" borderId="35" xfId="45" applyNumberFormat="1" applyFont="1" applyFill="1" applyBorder="1" applyAlignment="1" applyProtection="1">
      <alignment horizontal="center" vertical="center"/>
    </xf>
    <xf numFmtId="0" fontId="0" fillId="0" borderId="76" xfId="0" applyBorder="1" applyProtection="1"/>
    <xf numFmtId="0" fontId="26" fillId="0" borderId="0" xfId="0" applyFont="1" applyFill="1" applyBorder="1" applyAlignment="1" applyProtection="1"/>
    <xf numFmtId="0" fontId="21" fillId="22" borderId="35" xfId="0" applyFont="1" applyFill="1" applyBorder="1" applyProtection="1"/>
    <xf numFmtId="0" fontId="89" fillId="0" borderId="0" xfId="0" applyFont="1"/>
    <xf numFmtId="0" fontId="26" fillId="0" borderId="31" xfId="0" applyFont="1" applyBorder="1" applyAlignment="1" applyProtection="1">
      <alignment horizontal="center"/>
    </xf>
    <xf numFmtId="0" fontId="26" fillId="0" borderId="0" xfId="0" applyFont="1" applyBorder="1" applyAlignment="1" applyProtection="1">
      <alignment horizontal="center"/>
    </xf>
    <xf numFmtId="0" fontId="26" fillId="0" borderId="35" xfId="0" applyFont="1" applyBorder="1" applyProtection="1"/>
    <xf numFmtId="0" fontId="26" fillId="0" borderId="35" xfId="0" applyFont="1" applyBorder="1" applyAlignment="1" applyProtection="1">
      <alignment horizontal="center"/>
    </xf>
    <xf numFmtId="0" fontId="26" fillId="0" borderId="46" xfId="0" applyFont="1" applyBorder="1" applyProtection="1"/>
    <xf numFmtId="0" fontId="26" fillId="0" borderId="24" xfId="0" applyFont="1" applyBorder="1" applyAlignment="1" applyProtection="1">
      <alignment horizontal="center"/>
    </xf>
    <xf numFmtId="0" fontId="26" fillId="0" borderId="28" xfId="0" applyFont="1" applyBorder="1" applyAlignment="1" applyProtection="1">
      <alignment horizontal="center"/>
    </xf>
    <xf numFmtId="0" fontId="26" fillId="0" borderId="48" xfId="0" applyFont="1" applyBorder="1" applyAlignment="1" applyProtection="1">
      <alignment horizontal="center"/>
    </xf>
    <xf numFmtId="169" fontId="98" fillId="24" borderId="29" xfId="45" applyNumberFormat="1" applyFont="1" applyFill="1" applyBorder="1" applyAlignment="1" applyProtection="1">
      <alignment horizontal="center" vertical="center"/>
    </xf>
    <xf numFmtId="169" fontId="39" fillId="24" borderId="35" xfId="0" applyNumberFormat="1" applyFont="1" applyFill="1" applyBorder="1" applyProtection="1"/>
    <xf numFmtId="3" fontId="39" fillId="24" borderId="35" xfId="0" applyNumberFormat="1" applyFont="1" applyFill="1" applyBorder="1" applyProtection="1"/>
    <xf numFmtId="167" fontId="28" fillId="0" borderId="0" xfId="0" applyNumberFormat="1" applyFont="1" applyProtection="1"/>
    <xf numFmtId="0" fontId="21" fillId="33" borderId="15" xfId="0" applyFont="1" applyFill="1" applyBorder="1" applyAlignment="1" applyProtection="1">
      <alignment horizontal="center"/>
      <protection locked="0"/>
    </xf>
    <xf numFmtId="0" fontId="21" fillId="33" borderId="52" xfId="0" applyFont="1" applyFill="1" applyBorder="1" applyAlignment="1" applyProtection="1">
      <alignment horizontal="center"/>
      <protection locked="0"/>
    </xf>
    <xf numFmtId="0" fontId="26" fillId="33" borderId="14" xfId="0" applyFont="1" applyFill="1" applyBorder="1" applyAlignment="1" applyProtection="1">
      <alignment horizontal="center"/>
      <protection locked="0"/>
    </xf>
    <xf numFmtId="0" fontId="26" fillId="33" borderId="41" xfId="0" applyFont="1" applyFill="1" applyBorder="1" applyAlignment="1" applyProtection="1">
      <alignment horizontal="center"/>
      <protection locked="0"/>
    </xf>
    <xf numFmtId="0" fontId="26" fillId="33" borderId="0" xfId="0" applyFont="1" applyFill="1" applyBorder="1" applyAlignment="1" applyProtection="1">
      <alignment horizontal="center"/>
      <protection locked="0"/>
    </xf>
    <xf numFmtId="0" fontId="26" fillId="33" borderId="13" xfId="0" applyFont="1" applyFill="1" applyBorder="1" applyAlignment="1" applyProtection="1">
      <alignment horizontal="center"/>
      <protection locked="0"/>
    </xf>
    <xf numFmtId="173" fontId="0" fillId="18" borderId="0" xfId="35" applyNumberFormat="1" applyFont="1" applyFill="1" applyBorder="1"/>
    <xf numFmtId="173" fontId="26" fillId="18" borderId="0" xfId="35" applyNumberFormat="1" applyFont="1" applyFill="1" applyBorder="1"/>
    <xf numFmtId="0" fontId="26" fillId="18" borderId="0" xfId="0" applyFont="1" applyFill="1"/>
    <xf numFmtId="165" fontId="26" fillId="18" borderId="0" xfId="0" applyNumberFormat="1" applyFont="1" applyFill="1"/>
    <xf numFmtId="0" fontId="37" fillId="18" borderId="0" xfId="0" applyFont="1" applyFill="1"/>
    <xf numFmtId="165" fontId="37" fillId="18" borderId="0" xfId="0" applyNumberFormat="1" applyFont="1" applyFill="1"/>
    <xf numFmtId="173" fontId="37" fillId="18" borderId="0" xfId="35" applyNumberFormat="1" applyFont="1" applyFill="1"/>
    <xf numFmtId="0" fontId="26" fillId="18" borderId="11" xfId="0" applyFont="1" applyFill="1" applyBorder="1" applyAlignment="1">
      <alignment horizontal="center"/>
    </xf>
    <xf numFmtId="0" fontId="26" fillId="18" borderId="30" xfId="0" applyFont="1" applyFill="1" applyBorder="1" applyAlignment="1">
      <alignment horizontal="center"/>
    </xf>
    <xf numFmtId="173" fontId="0" fillId="18" borderId="38" xfId="35" applyNumberFormat="1" applyFont="1" applyFill="1" applyBorder="1" applyAlignment="1">
      <alignment horizontal="center"/>
    </xf>
    <xf numFmtId="165" fontId="37" fillId="18" borderId="13" xfId="0" applyNumberFormat="1" applyFont="1" applyFill="1" applyBorder="1"/>
    <xf numFmtId="173" fontId="37" fillId="18" borderId="13" xfId="35" applyNumberFormat="1" applyFont="1" applyFill="1" applyBorder="1"/>
    <xf numFmtId="0" fontId="37" fillId="18" borderId="13" xfId="0" applyFont="1" applyFill="1" applyBorder="1"/>
    <xf numFmtId="165" fontId="94" fillId="18" borderId="13" xfId="0" applyNumberFormat="1" applyFont="1" applyFill="1" applyBorder="1"/>
    <xf numFmtId="0" fontId="26" fillId="18" borderId="0" xfId="0" applyFont="1" applyFill="1" applyAlignment="1"/>
    <xf numFmtId="0" fontId="0" fillId="18" borderId="16" xfId="0" applyFill="1" applyBorder="1" applyAlignment="1">
      <alignment wrapText="1"/>
    </xf>
    <xf numFmtId="173" fontId="0" fillId="18" borderId="37" xfId="35" applyNumberFormat="1" applyFont="1" applyFill="1" applyBorder="1" applyAlignment="1">
      <alignment horizontal="center"/>
    </xf>
    <xf numFmtId="0" fontId="0" fillId="18" borderId="18" xfId="0" applyFill="1" applyBorder="1" applyAlignment="1">
      <alignment wrapText="1"/>
    </xf>
    <xf numFmtId="0" fontId="100" fillId="18" borderId="0" xfId="0" applyFont="1" applyFill="1" applyBorder="1"/>
    <xf numFmtId="0" fontId="94" fillId="18" borderId="0" xfId="0" applyFont="1" applyFill="1" applyBorder="1"/>
    <xf numFmtId="0" fontId="94" fillId="18" borderId="0" xfId="0" applyFont="1" applyFill="1" applyBorder="1" applyAlignment="1"/>
    <xf numFmtId="166" fontId="94" fillId="18" borderId="0" xfId="31" applyFont="1" applyFill="1" applyBorder="1" applyAlignment="1"/>
    <xf numFmtId="0" fontId="94" fillId="18" borderId="13" xfId="0" applyFont="1" applyFill="1" applyBorder="1"/>
    <xf numFmtId="173" fontId="94" fillId="18" borderId="13" xfId="35" applyNumberFormat="1" applyFont="1" applyFill="1" applyBorder="1" applyAlignment="1"/>
    <xf numFmtId="173" fontId="94" fillId="18" borderId="0" xfId="0" applyNumberFormat="1" applyFont="1" applyFill="1" applyBorder="1"/>
    <xf numFmtId="0" fontId="94" fillId="18" borderId="27" xfId="0" applyFont="1" applyFill="1" applyBorder="1"/>
    <xf numFmtId="0" fontId="0" fillId="18" borderId="0" xfId="0" applyFill="1" applyBorder="1" applyAlignment="1">
      <alignment horizontal="center"/>
    </xf>
    <xf numFmtId="165" fontId="0" fillId="18" borderId="0" xfId="0" applyNumberFormat="1" applyFill="1" applyBorder="1"/>
    <xf numFmtId="3" fontId="0" fillId="18" borderId="0" xfId="35" applyNumberFormat="1" applyFont="1" applyFill="1" applyBorder="1"/>
    <xf numFmtId="3" fontId="0" fillId="18" borderId="0" xfId="0" applyNumberFormat="1" applyFill="1" applyBorder="1"/>
    <xf numFmtId="0" fontId="29" fillId="18" borderId="0" xfId="0" applyFont="1" applyFill="1" applyBorder="1" applyAlignment="1"/>
    <xf numFmtId="0" fontId="29" fillId="18" borderId="13" xfId="0" applyFont="1" applyFill="1" applyBorder="1" applyAlignment="1">
      <alignment horizontal="center"/>
    </xf>
    <xf numFmtId="0" fontId="26" fillId="18" borderId="13" xfId="0" applyFont="1" applyFill="1" applyBorder="1"/>
    <xf numFmtId="0" fontId="26" fillId="18" borderId="13" xfId="0" applyFont="1" applyFill="1" applyBorder="1" applyAlignment="1">
      <alignment horizontal="center"/>
    </xf>
    <xf numFmtId="167" fontId="21" fillId="18" borderId="13" xfId="0" applyNumberFormat="1" applyFont="1" applyFill="1" applyBorder="1" applyAlignment="1">
      <alignment horizontal="center"/>
    </xf>
    <xf numFmtId="0" fontId="23" fillId="19" borderId="15" xfId="0" applyFont="1" applyFill="1" applyBorder="1" applyAlignment="1" applyProtection="1">
      <alignment horizontal="center"/>
      <protection locked="0"/>
    </xf>
    <xf numFmtId="0" fontId="23" fillId="19" borderId="15" xfId="0" applyFont="1" applyFill="1" applyBorder="1" applyProtection="1">
      <protection locked="0"/>
    </xf>
    <xf numFmtId="0" fontId="22" fillId="19" borderId="52" xfId="0" applyFont="1" applyFill="1" applyBorder="1" applyProtection="1">
      <protection locked="0"/>
    </xf>
    <xf numFmtId="0" fontId="0" fillId="0" borderId="0" xfId="0" applyAlignment="1"/>
    <xf numFmtId="165" fontId="94" fillId="18" borderId="0" xfId="0" applyNumberFormat="1" applyFont="1" applyFill="1"/>
    <xf numFmtId="0" fontId="26" fillId="0" borderId="0" xfId="0" applyFont="1"/>
    <xf numFmtId="0" fontId="0" fillId="18" borderId="17" xfId="0" applyFill="1" applyBorder="1"/>
    <xf numFmtId="0" fontId="0" fillId="18" borderId="51" xfId="0" applyFill="1" applyBorder="1"/>
    <xf numFmtId="0" fontId="54" fillId="18" borderId="19" xfId="0" applyFont="1" applyFill="1" applyBorder="1" applyAlignment="1" applyProtection="1">
      <alignment horizontal="center"/>
    </xf>
    <xf numFmtId="0" fontId="54" fillId="18" borderId="30" xfId="0" applyFont="1" applyFill="1" applyBorder="1" applyAlignment="1" applyProtection="1">
      <alignment horizontal="center"/>
    </xf>
    <xf numFmtId="0" fontId="53" fillId="18" borderId="19" xfId="0" applyFont="1" applyFill="1" applyBorder="1" applyAlignment="1" applyProtection="1">
      <alignment horizontal="left" indent="2"/>
    </xf>
    <xf numFmtId="0" fontId="54" fillId="18" borderId="19" xfId="0" applyFont="1" applyFill="1" applyBorder="1" applyAlignment="1" applyProtection="1">
      <alignment horizontal="right" indent="2"/>
    </xf>
    <xf numFmtId="0" fontId="54" fillId="18" borderId="19" xfId="0" applyFont="1" applyFill="1" applyBorder="1" applyProtection="1"/>
    <xf numFmtId="0" fontId="20" fillId="18" borderId="19" xfId="0" applyFont="1" applyFill="1" applyBorder="1" applyAlignment="1" applyProtection="1">
      <alignment horizontal="left" indent="2"/>
    </xf>
    <xf numFmtId="0" fontId="54" fillId="18" borderId="19" xfId="0" applyFont="1" applyFill="1" applyBorder="1" applyAlignment="1" applyProtection="1">
      <alignment horizontal="right"/>
    </xf>
    <xf numFmtId="0" fontId="53" fillId="18" borderId="19" xfId="0" applyFont="1" applyFill="1" applyBorder="1" applyProtection="1"/>
    <xf numFmtId="0" fontId="21" fillId="18" borderId="19" xfId="0" applyFont="1" applyFill="1" applyBorder="1" applyAlignment="1" applyProtection="1">
      <alignment horizontal="left"/>
    </xf>
    <xf numFmtId="0" fontId="21" fillId="18" borderId="19" xfId="0" applyFont="1" applyFill="1" applyBorder="1" applyAlignment="1" applyProtection="1">
      <alignment horizontal="center"/>
    </xf>
    <xf numFmtId="0" fontId="53" fillId="18" borderId="18" xfId="0" applyFont="1" applyFill="1" applyBorder="1" applyAlignment="1" applyProtection="1">
      <alignment horizontal="center"/>
    </xf>
    <xf numFmtId="165" fontId="53" fillId="18" borderId="14" xfId="45" applyFont="1" applyFill="1" applyBorder="1" applyProtection="1"/>
    <xf numFmtId="10" fontId="54" fillId="18" borderId="30" xfId="35" applyNumberFormat="1" applyFont="1" applyFill="1" applyBorder="1" applyAlignment="1" applyProtection="1">
      <alignment horizontal="center"/>
    </xf>
    <xf numFmtId="10" fontId="54" fillId="18" borderId="30" xfId="0" applyNumberFormat="1" applyFont="1" applyFill="1" applyBorder="1" applyAlignment="1" applyProtection="1">
      <alignment horizontal="center"/>
    </xf>
    <xf numFmtId="10" fontId="53" fillId="18" borderId="30" xfId="0" applyNumberFormat="1" applyFont="1" applyFill="1" applyBorder="1" applyProtection="1"/>
    <xf numFmtId="10" fontId="54" fillId="18" borderId="38" xfId="35" applyNumberFormat="1" applyFont="1" applyFill="1" applyBorder="1" applyAlignment="1" applyProtection="1">
      <alignment horizontal="center"/>
    </xf>
    <xf numFmtId="0" fontId="26" fillId="0" borderId="0" xfId="0" applyFont="1" applyAlignment="1">
      <alignment wrapText="1"/>
    </xf>
    <xf numFmtId="0" fontId="0" fillId="18" borderId="35" xfId="0" applyFill="1" applyBorder="1"/>
    <xf numFmtId="0" fontId="26" fillId="18" borderId="26" xfId="0" applyFont="1" applyFill="1" applyBorder="1" applyAlignment="1">
      <alignment horizontal="center"/>
    </xf>
    <xf numFmtId="167" fontId="26" fillId="21" borderId="51" xfId="0" applyNumberFormat="1" applyFont="1" applyFill="1" applyBorder="1"/>
    <xf numFmtId="0" fontId="26" fillId="21" borderId="54" xfId="0" applyFont="1" applyFill="1" applyBorder="1"/>
    <xf numFmtId="0" fontId="0" fillId="25" borderId="13" xfId="0" applyFill="1" applyBorder="1"/>
    <xf numFmtId="0" fontId="26" fillId="18" borderId="19" xfId="0" applyFont="1" applyFill="1" applyBorder="1"/>
    <xf numFmtId="167" fontId="26" fillId="18" borderId="13" xfId="0" applyNumberFormat="1" applyFont="1" applyFill="1" applyBorder="1" applyAlignment="1">
      <alignment horizontal="center"/>
    </xf>
    <xf numFmtId="167" fontId="26" fillId="18" borderId="30" xfId="0" applyNumberFormat="1" applyFont="1" applyFill="1" applyBorder="1" applyAlignment="1">
      <alignment horizontal="center"/>
    </xf>
    <xf numFmtId="167" fontId="26" fillId="18" borderId="40" xfId="0" applyNumberFormat="1" applyFont="1" applyFill="1" applyBorder="1" applyAlignment="1">
      <alignment horizontal="center"/>
    </xf>
    <xf numFmtId="0" fontId="26" fillId="18" borderId="30" xfId="0" applyFont="1" applyFill="1" applyBorder="1"/>
    <xf numFmtId="3" fontId="26" fillId="18" borderId="13" xfId="0" applyNumberFormat="1" applyFont="1" applyFill="1" applyBorder="1" applyAlignment="1">
      <alignment horizontal="center"/>
    </xf>
    <xf numFmtId="3" fontId="26" fillId="18" borderId="30" xfId="0" applyNumberFormat="1" applyFont="1" applyFill="1" applyBorder="1" applyAlignment="1">
      <alignment horizontal="center"/>
    </xf>
    <xf numFmtId="3" fontId="26" fillId="18" borderId="14" xfId="0" applyNumberFormat="1" applyFont="1" applyFill="1" applyBorder="1" applyAlignment="1">
      <alignment horizontal="center"/>
    </xf>
    <xf numFmtId="0" fontId="26" fillId="18" borderId="38" xfId="0" applyFont="1" applyFill="1" applyBorder="1"/>
    <xf numFmtId="0" fontId="29" fillId="18" borderId="19" xfId="0" applyFont="1" applyFill="1" applyBorder="1" applyAlignment="1">
      <alignment horizontal="center"/>
    </xf>
    <xf numFmtId="0" fontId="29" fillId="18" borderId="30" xfId="0" applyFont="1" applyFill="1" applyBorder="1" applyAlignment="1">
      <alignment horizontal="center"/>
    </xf>
    <xf numFmtId="0" fontId="21" fillId="18" borderId="19" xfId="0" applyFont="1" applyFill="1" applyBorder="1" applyAlignment="1">
      <alignment horizontal="center"/>
    </xf>
    <xf numFmtId="3" fontId="24" fillId="18" borderId="30" xfId="0" applyNumberFormat="1" applyFont="1" applyFill="1" applyBorder="1" applyAlignment="1">
      <alignment horizontal="center"/>
    </xf>
    <xf numFmtId="0" fontId="0" fillId="18" borderId="19" xfId="0" applyFill="1" applyBorder="1" applyAlignment="1">
      <alignment wrapText="1"/>
    </xf>
    <xf numFmtId="0" fontId="20" fillId="18" borderId="19" xfId="0" applyFont="1" applyFill="1" applyBorder="1" applyAlignment="1" applyProtection="1"/>
    <xf numFmtId="0" fontId="20" fillId="18" borderId="19" xfId="0" applyFont="1" applyFill="1" applyBorder="1" applyAlignment="1" applyProtection="1">
      <alignment horizontal="left"/>
    </xf>
    <xf numFmtId="0" fontId="48" fillId="18" borderId="0" xfId="0" applyFont="1" applyFill="1" applyBorder="1" applyAlignment="1" applyProtection="1">
      <alignment vertical="center"/>
    </xf>
    <xf numFmtId="0" fontId="48" fillId="18" borderId="0" xfId="0" applyFont="1" applyFill="1" applyBorder="1" applyProtection="1"/>
    <xf numFmtId="1" fontId="22" fillId="22" borderId="13" xfId="0" applyNumberFormat="1" applyFont="1" applyFill="1" applyBorder="1" applyProtection="1"/>
    <xf numFmtId="3" fontId="20" fillId="20" borderId="42" xfId="0" applyNumberFormat="1" applyFont="1" applyFill="1" applyBorder="1" applyProtection="1"/>
    <xf numFmtId="0" fontId="21" fillId="20" borderId="65" xfId="0" applyFont="1" applyFill="1" applyBorder="1" applyAlignment="1" applyProtection="1">
      <alignment horizontal="center" wrapText="1"/>
    </xf>
    <xf numFmtId="0" fontId="22" fillId="20" borderId="13" xfId="0" applyFont="1" applyFill="1" applyBorder="1" applyAlignment="1" applyProtection="1">
      <alignment vertical="center" wrapText="1"/>
    </xf>
    <xf numFmtId="0" fontId="22" fillId="20" borderId="13" xfId="0" applyFont="1" applyFill="1" applyBorder="1" applyAlignment="1" applyProtection="1">
      <alignment wrapText="1"/>
    </xf>
    <xf numFmtId="3" fontId="23" fillId="20" borderId="13" xfId="0" applyNumberFormat="1" applyFont="1" applyFill="1" applyBorder="1" applyAlignment="1" applyProtection="1">
      <alignment horizontal="center"/>
    </xf>
    <xf numFmtId="3" fontId="20" fillId="23" borderId="15" xfId="0" applyNumberFormat="1" applyFont="1" applyFill="1" applyBorder="1" applyProtection="1"/>
    <xf numFmtId="3" fontId="0" fillId="22" borderId="13" xfId="0" applyNumberFormat="1" applyFill="1" applyBorder="1"/>
    <xf numFmtId="3" fontId="0" fillId="22" borderId="14" xfId="0" applyNumberFormat="1" applyFill="1" applyBorder="1"/>
    <xf numFmtId="0" fontId="0" fillId="34" borderId="13" xfId="0" applyFill="1" applyBorder="1"/>
    <xf numFmtId="0" fontId="26" fillId="22" borderId="57" xfId="0" applyFont="1" applyFill="1" applyBorder="1" applyAlignment="1"/>
    <xf numFmtId="0" fontId="26" fillId="22" borderId="29" xfId="0" applyFont="1" applyFill="1" applyBorder="1" applyAlignment="1"/>
    <xf numFmtId="165" fontId="25" fillId="24" borderId="40" xfId="45" applyFont="1" applyFill="1" applyBorder="1"/>
    <xf numFmtId="0" fontId="25" fillId="24" borderId="13" xfId="0" applyFont="1" applyFill="1" applyBorder="1"/>
    <xf numFmtId="0" fontId="23" fillId="18" borderId="0" xfId="0" applyFont="1" applyFill="1" applyBorder="1"/>
    <xf numFmtId="0" fontId="0" fillId="22" borderId="58" xfId="0" applyFill="1" applyBorder="1"/>
    <xf numFmtId="0" fontId="28" fillId="24" borderId="14" xfId="0" applyFont="1" applyFill="1" applyBorder="1" applyAlignment="1">
      <alignment horizontal="center"/>
    </xf>
    <xf numFmtId="0" fontId="0" fillId="22" borderId="34" xfId="0" applyFill="1" applyBorder="1"/>
    <xf numFmtId="0" fontId="0" fillId="22" borderId="59" xfId="0" applyFill="1" applyBorder="1"/>
    <xf numFmtId="0" fontId="0" fillId="24" borderId="21" xfId="0" applyFill="1" applyBorder="1"/>
    <xf numFmtId="0" fontId="0" fillId="24" borderId="11" xfId="0" applyFill="1" applyBorder="1"/>
    <xf numFmtId="0" fontId="0" fillId="22" borderId="11" xfId="0" applyFill="1" applyBorder="1" applyAlignment="1">
      <alignment wrapText="1"/>
    </xf>
    <xf numFmtId="0" fontId="71" fillId="22" borderId="26" xfId="0" applyFont="1" applyFill="1" applyBorder="1"/>
    <xf numFmtId="0" fontId="0" fillId="18" borderId="39" xfId="0" applyFill="1" applyBorder="1"/>
    <xf numFmtId="0" fontId="22" fillId="18" borderId="0" xfId="0" applyFont="1" applyFill="1" applyBorder="1"/>
    <xf numFmtId="0" fontId="54" fillId="18" borderId="0" xfId="0" applyFont="1" applyFill="1" applyBorder="1"/>
    <xf numFmtId="0" fontId="25" fillId="24" borderId="40" xfId="0" applyFont="1" applyFill="1" applyBorder="1"/>
    <xf numFmtId="165" fontId="25" fillId="24" borderId="41" xfId="45" applyFont="1" applyFill="1" applyBorder="1"/>
    <xf numFmtId="0" fontId="25" fillId="24" borderId="41" xfId="0" applyFont="1" applyFill="1" applyBorder="1"/>
    <xf numFmtId="0" fontId="25" fillId="24" borderId="42" xfId="0" applyFont="1" applyFill="1" applyBorder="1"/>
    <xf numFmtId="0" fontId="25" fillId="24" borderId="35" xfId="0" applyFont="1" applyFill="1" applyBorder="1"/>
    <xf numFmtId="165" fontId="26" fillId="24" borderId="40" xfId="45" applyFont="1" applyFill="1" applyBorder="1"/>
    <xf numFmtId="165" fontId="26" fillId="24" borderId="41" xfId="45" applyFont="1" applyFill="1" applyBorder="1"/>
    <xf numFmtId="165" fontId="26" fillId="18" borderId="0" xfId="45" applyFont="1" applyFill="1" applyBorder="1"/>
    <xf numFmtId="0" fontId="25" fillId="18" borderId="0" xfId="0" applyFont="1" applyFill="1" applyBorder="1" applyAlignment="1">
      <alignment horizontal="center" wrapText="1"/>
    </xf>
    <xf numFmtId="0" fontId="26" fillId="18" borderId="0" xfId="0" applyFont="1" applyFill="1" applyBorder="1" applyAlignment="1">
      <alignment horizontal="center" vertical="center" wrapText="1"/>
    </xf>
    <xf numFmtId="0" fontId="25" fillId="18" borderId="0" xfId="0" applyFont="1" applyFill="1" applyBorder="1"/>
    <xf numFmtId="165" fontId="25" fillId="18" borderId="0" xfId="45" applyFont="1" applyFill="1" applyBorder="1"/>
    <xf numFmtId="0" fontId="25" fillId="24" borderId="30" xfId="0" applyFont="1" applyFill="1" applyBorder="1"/>
    <xf numFmtId="0" fontId="25" fillId="24" borderId="38" xfId="0" applyFont="1" applyFill="1" applyBorder="1"/>
    <xf numFmtId="165" fontId="25" fillId="24" borderId="42" xfId="45" applyFont="1" applyFill="1" applyBorder="1"/>
    <xf numFmtId="0" fontId="89" fillId="24" borderId="35" xfId="0" applyFont="1" applyFill="1" applyBorder="1"/>
    <xf numFmtId="0" fontId="25" fillId="24" borderId="26" xfId="0" applyFont="1" applyFill="1" applyBorder="1"/>
    <xf numFmtId="0" fontId="25" fillId="22" borderId="29" xfId="0" applyFont="1" applyFill="1" applyBorder="1" applyAlignment="1"/>
    <xf numFmtId="0" fontId="0" fillId="24" borderId="21" xfId="0" applyFill="1" applyBorder="1" applyAlignment="1">
      <alignment horizontal="center"/>
    </xf>
    <xf numFmtId="0" fontId="28" fillId="24" borderId="11" xfId="0" applyFont="1" applyFill="1" applyBorder="1" applyAlignment="1">
      <alignment horizontal="center"/>
    </xf>
    <xf numFmtId="0" fontId="26" fillId="24" borderId="24" xfId="0" applyFont="1" applyFill="1" applyBorder="1" applyAlignment="1">
      <alignment horizontal="center"/>
    </xf>
    <xf numFmtId="0" fontId="25" fillId="24" borderId="25" xfId="0" applyFont="1" applyFill="1" applyBorder="1" applyAlignment="1">
      <alignment horizontal="center"/>
    </xf>
    <xf numFmtId="165" fontId="88" fillId="24" borderId="18" xfId="0" applyNumberFormat="1" applyFont="1" applyFill="1" applyBorder="1"/>
    <xf numFmtId="165" fontId="0" fillId="24" borderId="41" xfId="45" applyFont="1" applyFill="1" applyBorder="1"/>
    <xf numFmtId="0" fontId="25" fillId="24" borderId="14" xfId="0" applyFont="1" applyFill="1" applyBorder="1"/>
    <xf numFmtId="0" fontId="26" fillId="24" borderId="49" xfId="0" applyFont="1" applyFill="1" applyBorder="1" applyAlignment="1"/>
    <xf numFmtId="0" fontId="100" fillId="18" borderId="13" xfId="0" applyFont="1" applyFill="1" applyBorder="1"/>
    <xf numFmtId="0" fontId="25" fillId="24" borderId="49" xfId="0" applyFont="1" applyFill="1" applyBorder="1" applyAlignment="1">
      <alignment horizontal="center"/>
    </xf>
    <xf numFmtId="0" fontId="89" fillId="24" borderId="13" xfId="0" applyFont="1" applyFill="1" applyBorder="1"/>
    <xf numFmtId="0" fontId="21" fillId="24" borderId="45" xfId="0" applyFont="1" applyFill="1" applyBorder="1" applyAlignment="1"/>
    <xf numFmtId="0" fontId="0" fillId="18" borderId="45" xfId="0" applyFill="1" applyBorder="1"/>
    <xf numFmtId="0" fontId="0" fillId="18" borderId="44" xfId="0" applyFill="1" applyBorder="1"/>
    <xf numFmtId="0" fontId="0" fillId="18" borderId="20" xfId="0" applyFill="1" applyBorder="1"/>
    <xf numFmtId="0" fontId="26" fillId="18" borderId="35" xfId="0" applyFont="1" applyFill="1" applyBorder="1"/>
    <xf numFmtId="167" fontId="26" fillId="24" borderId="14" xfId="0" applyNumberFormat="1" applyFont="1" applyFill="1" applyBorder="1" applyAlignment="1">
      <alignment horizontal="center"/>
    </xf>
    <xf numFmtId="167" fontId="26" fillId="24" borderId="38" xfId="0" applyNumberFormat="1" applyFont="1" applyFill="1" applyBorder="1" applyAlignment="1">
      <alignment horizontal="center"/>
    </xf>
    <xf numFmtId="0" fontId="26" fillId="24" borderId="35" xfId="0" applyFont="1" applyFill="1" applyBorder="1"/>
    <xf numFmtId="0" fontId="26" fillId="24" borderId="35" xfId="0" applyFont="1" applyFill="1" applyBorder="1" applyProtection="1">
      <protection hidden="1"/>
    </xf>
    <xf numFmtId="0" fontId="75" fillId="0" borderId="22" xfId="0" applyFont="1" applyFill="1" applyBorder="1" applyProtection="1">
      <protection hidden="1"/>
    </xf>
    <xf numFmtId="0" fontId="75" fillId="0" borderId="64" xfId="0" applyFont="1" applyFill="1" applyBorder="1" applyProtection="1">
      <protection hidden="1"/>
    </xf>
    <xf numFmtId="0" fontId="75" fillId="0" borderId="23" xfId="0" applyFont="1" applyFill="1" applyBorder="1" applyProtection="1">
      <protection hidden="1"/>
    </xf>
    <xf numFmtId="0" fontId="53" fillId="18" borderId="19" xfId="0" applyFont="1" applyFill="1" applyBorder="1" applyAlignment="1">
      <alignment horizontal="left"/>
    </xf>
    <xf numFmtId="0" fontId="53" fillId="18" borderId="30" xfId="0" applyFont="1" applyFill="1" applyBorder="1" applyAlignment="1">
      <alignment horizontal="right"/>
    </xf>
    <xf numFmtId="0" fontId="53" fillId="18" borderId="19" xfId="0" applyFont="1" applyFill="1" applyBorder="1" applyAlignment="1"/>
    <xf numFmtId="172" fontId="53" fillId="18" borderId="30" xfId="0" applyNumberFormat="1" applyFont="1" applyFill="1" applyBorder="1"/>
    <xf numFmtId="0" fontId="53" fillId="18" borderId="18" xfId="0" applyFont="1" applyFill="1" applyBorder="1" applyAlignment="1"/>
    <xf numFmtId="172" fontId="53" fillId="18" borderId="38" xfId="0" applyNumberFormat="1" applyFont="1" applyFill="1" applyBorder="1"/>
    <xf numFmtId="0" fontId="53" fillId="18" borderId="10" xfId="0" applyFont="1" applyFill="1" applyBorder="1"/>
    <xf numFmtId="3" fontId="53" fillId="18" borderId="12" xfId="0" applyNumberFormat="1" applyFont="1" applyFill="1" applyBorder="1"/>
    <xf numFmtId="0" fontId="20" fillId="18" borderId="19" xfId="0" applyFont="1" applyFill="1" applyBorder="1" applyAlignment="1">
      <alignment horizontal="left"/>
    </xf>
    <xf numFmtId="3" fontId="21" fillId="18" borderId="30" xfId="45" applyNumberFormat="1" applyFont="1" applyFill="1" applyBorder="1" applyAlignment="1"/>
    <xf numFmtId="0" fontId="53" fillId="18" borderId="19" xfId="0" applyFont="1" applyFill="1" applyBorder="1"/>
    <xf numFmtId="165" fontId="53" fillId="18" borderId="30" xfId="45" applyFont="1" applyFill="1" applyBorder="1" applyAlignment="1"/>
    <xf numFmtId="0" fontId="53" fillId="18" borderId="22" xfId="0" applyFont="1" applyFill="1" applyBorder="1" applyAlignment="1">
      <alignment wrapText="1"/>
    </xf>
    <xf numFmtId="165" fontId="53" fillId="18" borderId="34" xfId="45" applyFont="1" applyFill="1" applyBorder="1" applyAlignment="1"/>
    <xf numFmtId="0" fontId="53" fillId="18" borderId="30" xfId="0" applyFont="1" applyFill="1" applyBorder="1" applyAlignment="1"/>
    <xf numFmtId="0" fontId="53" fillId="18" borderId="21" xfId="0" applyFont="1" applyFill="1" applyBorder="1"/>
    <xf numFmtId="172" fontId="53" fillId="18" borderId="26" xfId="0" applyNumberFormat="1" applyFont="1" applyFill="1" applyBorder="1" applyAlignment="1"/>
    <xf numFmtId="172" fontId="53" fillId="18" borderId="30" xfId="0" applyNumberFormat="1" applyFont="1" applyFill="1" applyBorder="1" applyAlignment="1"/>
    <xf numFmtId="3" fontId="53" fillId="18" borderId="12" xfId="0" applyNumberFormat="1" applyFont="1" applyFill="1" applyBorder="1" applyAlignment="1"/>
    <xf numFmtId="0" fontId="53" fillId="18" borderId="18" xfId="0" applyFont="1" applyFill="1" applyBorder="1"/>
    <xf numFmtId="2" fontId="53" fillId="18" borderId="38" xfId="0" applyNumberFormat="1" applyFont="1" applyFill="1" applyBorder="1" applyAlignment="1"/>
    <xf numFmtId="3" fontId="53" fillId="18" borderId="30" xfId="0" applyNumberFormat="1" applyFont="1" applyFill="1" applyBorder="1" applyAlignment="1">
      <alignment horizontal="right"/>
    </xf>
    <xf numFmtId="0" fontId="106" fillId="0" borderId="0" xfId="0" applyFont="1"/>
    <xf numFmtId="167" fontId="106" fillId="0" borderId="0" xfId="0" applyNumberFormat="1" applyFont="1" applyFill="1" applyAlignment="1">
      <alignment horizontal="center"/>
    </xf>
    <xf numFmtId="9" fontId="97" fillId="0" borderId="0" xfId="35" applyFont="1" applyFill="1" applyAlignment="1">
      <alignment horizontal="center"/>
    </xf>
    <xf numFmtId="0" fontId="106" fillId="0" borderId="0" xfId="0" applyFont="1" applyFill="1"/>
    <xf numFmtId="3" fontId="84" fillId="0" borderId="0" xfId="0" applyNumberFormat="1" applyFont="1" applyFill="1" applyAlignment="1">
      <alignment horizontal="center"/>
    </xf>
    <xf numFmtId="0" fontId="20" fillId="18" borderId="0" xfId="0" applyFont="1" applyFill="1" applyBorder="1" applyAlignment="1" applyProtection="1">
      <alignment horizontal="center" vertical="center"/>
    </xf>
    <xf numFmtId="0" fontId="60" fillId="18" borderId="0" xfId="0" applyFont="1" applyFill="1" applyBorder="1" applyProtection="1"/>
    <xf numFmtId="0" fontId="20" fillId="21" borderId="35" xfId="0" applyFont="1" applyFill="1" applyBorder="1" applyProtection="1"/>
    <xf numFmtId="0" fontId="26" fillId="0" borderId="0" xfId="0" applyFont="1" applyFill="1" applyBorder="1" applyAlignment="1">
      <alignment horizontal="center"/>
    </xf>
    <xf numFmtId="0" fontId="100" fillId="0" borderId="0" xfId="0" applyFont="1" applyFill="1" applyBorder="1"/>
    <xf numFmtId="0" fontId="89" fillId="0" borderId="0" xfId="0" applyFont="1" applyFill="1" applyBorder="1"/>
    <xf numFmtId="0" fontId="89" fillId="0" borderId="0" xfId="0" applyFont="1" applyFill="1" applyBorder="1" applyAlignment="1">
      <alignment horizontal="center"/>
    </xf>
    <xf numFmtId="0" fontId="59" fillId="0" borderId="0" xfId="0" applyFont="1" applyFill="1" applyBorder="1"/>
    <xf numFmtId="0" fontId="63" fillId="18" borderId="0" xfId="0" applyFont="1" applyFill="1" applyBorder="1" applyAlignment="1" applyProtection="1">
      <alignment horizontal="center"/>
    </xf>
    <xf numFmtId="0" fontId="48" fillId="0" borderId="0" xfId="0" applyFont="1" applyFill="1" applyBorder="1" applyProtection="1"/>
    <xf numFmtId="0" fontId="62" fillId="18" borderId="0" xfId="0" applyFont="1" applyFill="1" applyBorder="1" applyProtection="1"/>
    <xf numFmtId="1" fontId="48" fillId="18" borderId="0" xfId="0" applyNumberFormat="1" applyFont="1" applyFill="1" applyBorder="1" applyAlignment="1" applyProtection="1">
      <alignment horizontal="center"/>
    </xf>
    <xf numFmtId="0" fontId="67" fillId="18" borderId="0" xfId="0" applyFont="1" applyFill="1" applyBorder="1" applyProtection="1"/>
    <xf numFmtId="0" fontId="47" fillId="0" borderId="13" xfId="0" applyFont="1" applyFill="1" applyBorder="1" applyProtection="1"/>
    <xf numFmtId="0" fontId="47" fillId="18" borderId="13" xfId="0" applyFont="1" applyFill="1" applyBorder="1" applyProtection="1"/>
    <xf numFmtId="0" fontId="20" fillId="24" borderId="21" xfId="0" applyFont="1" applyFill="1" applyBorder="1" applyProtection="1"/>
    <xf numFmtId="2" fontId="20" fillId="18" borderId="0" xfId="0" applyNumberFormat="1" applyFont="1" applyFill="1" applyProtection="1"/>
    <xf numFmtId="167" fontId="21" fillId="21" borderId="54" xfId="0" applyNumberFormat="1" applyFont="1" applyFill="1" applyBorder="1" applyAlignment="1" applyProtection="1">
      <alignment horizontal="center"/>
    </xf>
    <xf numFmtId="0" fontId="21" fillId="20" borderId="20" xfId="0" applyFont="1" applyFill="1" applyBorder="1" applyProtection="1"/>
    <xf numFmtId="0" fontId="21" fillId="20" borderId="51" xfId="0" applyFont="1" applyFill="1" applyBorder="1" applyAlignment="1" applyProtection="1">
      <alignment wrapText="1"/>
    </xf>
    <xf numFmtId="167" fontId="20" fillId="21" borderId="72" xfId="0" applyNumberFormat="1" applyFont="1" applyFill="1" applyBorder="1" applyAlignment="1" applyProtection="1">
      <alignment horizontal="center"/>
    </xf>
    <xf numFmtId="167" fontId="20" fillId="21" borderId="77" xfId="0" applyNumberFormat="1" applyFont="1" applyFill="1" applyBorder="1" applyAlignment="1" applyProtection="1">
      <alignment horizontal="center"/>
    </xf>
    <xf numFmtId="165" fontId="20" fillId="0" borderId="0" xfId="45" applyFont="1" applyBorder="1" applyProtection="1"/>
    <xf numFmtId="0" fontId="62" fillId="0" borderId="13" xfId="0" applyFont="1" applyBorder="1" applyProtection="1"/>
    <xf numFmtId="0" fontId="20" fillId="0" borderId="0" xfId="0" applyNumberFormat="1" applyFont="1" applyProtection="1"/>
    <xf numFmtId="165" fontId="22" fillId="0" borderId="0" xfId="45" applyFont="1" applyBorder="1" applyProtection="1"/>
    <xf numFmtId="165" fontId="22" fillId="0" borderId="14" xfId="0" applyNumberFormat="1" applyFont="1" applyBorder="1" applyProtection="1"/>
    <xf numFmtId="0" fontId="22" fillId="0" borderId="0" xfId="0" applyFont="1" applyProtection="1"/>
    <xf numFmtId="43" fontId="0" fillId="18" borderId="0" xfId="0" applyNumberFormat="1" applyFill="1" applyBorder="1" applyProtection="1"/>
    <xf numFmtId="0" fontId="0" fillId="18" borderId="0" xfId="0" applyFill="1" applyProtection="1">
      <protection hidden="1"/>
    </xf>
    <xf numFmtId="0" fontId="66" fillId="18" borderId="0" xfId="0" applyFont="1" applyFill="1" applyBorder="1" applyProtection="1">
      <protection hidden="1"/>
    </xf>
    <xf numFmtId="0" fontId="25" fillId="18" borderId="0" xfId="0" applyFont="1" applyFill="1" applyBorder="1" applyProtection="1">
      <protection hidden="1"/>
    </xf>
    <xf numFmtId="0" fontId="0" fillId="18" borderId="72" xfId="0" applyFill="1" applyBorder="1" applyProtection="1">
      <protection hidden="1"/>
    </xf>
    <xf numFmtId="0" fontId="0" fillId="0" borderId="82" xfId="0" applyFill="1" applyBorder="1" applyProtection="1">
      <protection hidden="1"/>
    </xf>
    <xf numFmtId="0" fontId="0" fillId="18" borderId="0" xfId="0" applyFill="1" applyBorder="1" applyAlignment="1" applyProtection="1">
      <alignment wrapText="1"/>
      <protection hidden="1"/>
    </xf>
    <xf numFmtId="0" fontId="0" fillId="20" borderId="64" xfId="0" applyFill="1" applyBorder="1" applyProtection="1">
      <protection hidden="1"/>
    </xf>
    <xf numFmtId="0" fontId="0" fillId="20" borderId="60" xfId="0" applyFill="1" applyBorder="1" applyProtection="1">
      <protection hidden="1"/>
    </xf>
    <xf numFmtId="0" fontId="0" fillId="20" borderId="54" xfId="0" applyFill="1" applyBorder="1" applyProtection="1">
      <protection hidden="1"/>
    </xf>
    <xf numFmtId="0" fontId="0" fillId="20" borderId="20" xfId="0" applyFill="1" applyBorder="1" applyProtection="1">
      <protection hidden="1"/>
    </xf>
    <xf numFmtId="0" fontId="0" fillId="20" borderId="67" xfId="0" applyFill="1" applyBorder="1" applyProtection="1">
      <protection hidden="1"/>
    </xf>
    <xf numFmtId="0" fontId="0" fillId="19" borderId="14" xfId="0" applyFill="1" applyBorder="1" applyAlignment="1" applyProtection="1">
      <alignment horizontal="center"/>
      <protection hidden="1"/>
    </xf>
    <xf numFmtId="0" fontId="0" fillId="21" borderId="11" xfId="0" applyFill="1" applyBorder="1" applyProtection="1">
      <protection hidden="1"/>
    </xf>
    <xf numFmtId="0" fontId="0" fillId="21" borderId="42" xfId="0" applyFill="1" applyBorder="1" applyProtection="1">
      <protection hidden="1"/>
    </xf>
    <xf numFmtId="0" fontId="0" fillId="19" borderId="13" xfId="0" applyFill="1" applyBorder="1" applyProtection="1">
      <protection hidden="1"/>
    </xf>
    <xf numFmtId="0" fontId="0" fillId="19" borderId="23" xfId="0" applyFill="1" applyBorder="1" applyProtection="1">
      <protection hidden="1"/>
    </xf>
    <xf numFmtId="0" fontId="0" fillId="21" borderId="64" xfId="0" applyFill="1" applyBorder="1" applyProtection="1">
      <protection hidden="1"/>
    </xf>
    <xf numFmtId="0" fontId="0" fillId="21" borderId="65" xfId="0" applyFill="1" applyBorder="1" applyProtection="1">
      <protection hidden="1"/>
    </xf>
    <xf numFmtId="0" fontId="0" fillId="18" borderId="10" xfId="0" applyFill="1" applyBorder="1" applyProtection="1">
      <protection hidden="1"/>
    </xf>
    <xf numFmtId="0" fontId="0" fillId="23" borderId="47" xfId="0" applyFill="1" applyBorder="1" applyProtection="1">
      <protection hidden="1"/>
    </xf>
    <xf numFmtId="0" fontId="0" fillId="24" borderId="13" xfId="0" applyFill="1" applyBorder="1" applyProtection="1">
      <protection hidden="1"/>
    </xf>
    <xf numFmtId="0" fontId="28" fillId="21" borderId="13" xfId="0" applyFont="1" applyFill="1" applyBorder="1" applyProtection="1">
      <protection hidden="1"/>
    </xf>
    <xf numFmtId="0" fontId="28" fillId="21" borderId="40" xfId="0" applyFont="1" applyFill="1" applyBorder="1" applyProtection="1">
      <protection hidden="1"/>
    </xf>
    <xf numFmtId="0" fontId="0" fillId="18" borderId="20" xfId="0" applyFill="1" applyBorder="1" applyProtection="1">
      <protection hidden="1"/>
    </xf>
    <xf numFmtId="0" fontId="0" fillId="18" borderId="17" xfId="0" applyFill="1" applyBorder="1" applyProtection="1">
      <protection hidden="1"/>
    </xf>
    <xf numFmtId="0" fontId="0" fillId="23" borderId="80" xfId="0" applyFill="1" applyBorder="1" applyProtection="1">
      <protection hidden="1"/>
    </xf>
    <xf numFmtId="0" fontId="0" fillId="24" borderId="14" xfId="0" applyFill="1" applyBorder="1" applyProtection="1">
      <protection hidden="1"/>
    </xf>
    <xf numFmtId="0" fontId="0" fillId="21" borderId="14" xfId="0" applyFill="1" applyBorder="1" applyProtection="1">
      <protection hidden="1"/>
    </xf>
    <xf numFmtId="0" fontId="0" fillId="21" borderId="41" xfId="0" applyFill="1" applyBorder="1" applyProtection="1">
      <protection hidden="1"/>
    </xf>
    <xf numFmtId="0" fontId="0" fillId="20" borderId="15" xfId="0" applyFill="1" applyBorder="1" applyProtection="1">
      <protection hidden="1"/>
    </xf>
    <xf numFmtId="0" fontId="0" fillId="20" borderId="52" xfId="0" applyFill="1" applyBorder="1" applyProtection="1">
      <protection hidden="1"/>
    </xf>
    <xf numFmtId="0" fontId="0" fillId="20" borderId="13" xfId="0" applyFill="1" applyBorder="1" applyProtection="1">
      <protection hidden="1"/>
    </xf>
    <xf numFmtId="0" fontId="0" fillId="20" borderId="40" xfId="0" applyFill="1" applyBorder="1" applyProtection="1">
      <protection hidden="1"/>
    </xf>
    <xf numFmtId="0" fontId="0" fillId="19" borderId="11" xfId="0" applyFill="1" applyBorder="1" applyProtection="1">
      <protection hidden="1"/>
    </xf>
    <xf numFmtId="0" fontId="0" fillId="0" borderId="0" xfId="0" applyBorder="1" applyProtection="1">
      <protection hidden="1"/>
    </xf>
    <xf numFmtId="0" fontId="0" fillId="19" borderId="27" xfId="0" applyFill="1" applyBorder="1" applyProtection="1">
      <protection hidden="1"/>
    </xf>
    <xf numFmtId="0" fontId="0" fillId="19" borderId="59" xfId="0" applyFill="1" applyBorder="1" applyProtection="1">
      <protection hidden="1"/>
    </xf>
    <xf numFmtId="0" fontId="0" fillId="18" borderId="0" xfId="0" applyNumberFormat="1" applyFill="1" applyBorder="1" applyProtection="1">
      <protection hidden="1"/>
    </xf>
    <xf numFmtId="0" fontId="0" fillId="18" borderId="45" xfId="0" applyFill="1" applyBorder="1" applyProtection="1">
      <protection hidden="1"/>
    </xf>
    <xf numFmtId="0" fontId="0" fillId="18" borderId="44" xfId="0" applyFill="1" applyBorder="1" applyProtection="1">
      <protection hidden="1"/>
    </xf>
    <xf numFmtId="0" fontId="31" fillId="18" borderId="44" xfId="0" applyFont="1" applyFill="1" applyBorder="1" applyProtection="1">
      <protection hidden="1"/>
    </xf>
    <xf numFmtId="0" fontId="31" fillId="18" borderId="0" xfId="0" applyFont="1" applyFill="1" applyBorder="1" applyProtection="1">
      <protection hidden="1"/>
    </xf>
    <xf numFmtId="0" fontId="0" fillId="18" borderId="12" xfId="0" applyFill="1" applyBorder="1" applyProtection="1">
      <protection hidden="1"/>
    </xf>
    <xf numFmtId="0" fontId="37" fillId="24" borderId="13" xfId="0" applyFont="1" applyFill="1" applyBorder="1" applyProtection="1">
      <protection hidden="1"/>
    </xf>
    <xf numFmtId="165" fontId="37" fillId="24" borderId="30" xfId="45" applyFont="1" applyFill="1" applyBorder="1" applyAlignment="1" applyProtection="1">
      <alignment horizontal="center"/>
      <protection hidden="1"/>
    </xf>
    <xf numFmtId="0" fontId="37" fillId="24" borderId="27" xfId="0" applyFont="1" applyFill="1" applyBorder="1" applyProtection="1">
      <protection hidden="1"/>
    </xf>
    <xf numFmtId="168" fontId="37" fillId="24" borderId="13" xfId="0" applyNumberFormat="1" applyFont="1" applyFill="1" applyBorder="1" applyAlignment="1" applyProtection="1">
      <alignment horizontal="center"/>
      <protection hidden="1"/>
    </xf>
    <xf numFmtId="168" fontId="37" fillId="24" borderId="40" xfId="0" applyNumberFormat="1" applyFont="1" applyFill="1" applyBorder="1" applyAlignment="1" applyProtection="1">
      <alignment horizontal="center"/>
      <protection hidden="1"/>
    </xf>
    <xf numFmtId="168" fontId="37" fillId="24" borderId="13" xfId="45" applyNumberFormat="1" applyFont="1" applyFill="1" applyBorder="1" applyAlignment="1" applyProtection="1">
      <alignment horizontal="center"/>
      <protection hidden="1"/>
    </xf>
    <xf numFmtId="168" fontId="37" fillId="24" borderId="40" xfId="45" applyNumberFormat="1" applyFont="1" applyFill="1" applyBorder="1" applyAlignment="1" applyProtection="1">
      <alignment horizontal="center"/>
      <protection hidden="1"/>
    </xf>
    <xf numFmtId="0" fontId="38" fillId="18" borderId="0" xfId="0" applyFont="1" applyFill="1" applyBorder="1" applyProtection="1">
      <protection hidden="1"/>
    </xf>
    <xf numFmtId="165" fontId="0" fillId="18" borderId="17" xfId="0" applyNumberFormat="1" applyFill="1" applyBorder="1" applyProtection="1">
      <protection hidden="1"/>
    </xf>
    <xf numFmtId="0" fontId="0" fillId="18" borderId="51" xfId="0" applyFill="1" applyBorder="1" applyProtection="1">
      <protection hidden="1"/>
    </xf>
    <xf numFmtId="0" fontId="26" fillId="18" borderId="0" xfId="0" applyFont="1" applyFill="1" applyBorder="1" applyAlignment="1" applyProtection="1">
      <alignment horizontal="center" wrapText="1"/>
      <protection hidden="1"/>
    </xf>
    <xf numFmtId="165" fontId="20" fillId="18" borderId="0" xfId="45" applyFont="1" applyFill="1" applyBorder="1" applyAlignment="1" applyProtection="1">
      <alignment horizontal="center" vertical="center"/>
      <protection hidden="1"/>
    </xf>
    <xf numFmtId="0" fontId="20" fillId="18" borderId="17" xfId="0" applyFont="1" applyFill="1" applyBorder="1" applyProtection="1">
      <protection hidden="1"/>
    </xf>
    <xf numFmtId="165" fontId="20" fillId="0" borderId="0" xfId="0" applyNumberFormat="1" applyFont="1" applyBorder="1" applyProtection="1">
      <protection hidden="1"/>
    </xf>
    <xf numFmtId="0" fontId="20" fillId="18" borderId="12" xfId="0" applyFont="1" applyFill="1" applyBorder="1" applyProtection="1">
      <protection hidden="1"/>
    </xf>
    <xf numFmtId="0" fontId="21" fillId="18" borderId="0" xfId="0" applyFont="1" applyFill="1" applyBorder="1" applyAlignment="1" applyProtection="1">
      <alignment horizontal="center" wrapText="1"/>
      <protection hidden="1"/>
    </xf>
    <xf numFmtId="165" fontId="21" fillId="18" borderId="0" xfId="45" applyFont="1" applyFill="1" applyBorder="1" applyAlignment="1" applyProtection="1">
      <alignment horizontal="center" vertical="center"/>
      <protection hidden="1"/>
    </xf>
    <xf numFmtId="3" fontId="21" fillId="18" borderId="0" xfId="0" applyNumberFormat="1" applyFont="1" applyFill="1" applyBorder="1" applyAlignment="1" applyProtection="1">
      <alignment horizontal="center"/>
      <protection hidden="1"/>
    </xf>
    <xf numFmtId="0" fontId="20" fillId="18" borderId="0" xfId="0" applyFont="1" applyFill="1" applyBorder="1" applyAlignment="1" applyProtection="1">
      <alignment horizontal="center"/>
      <protection hidden="1"/>
    </xf>
    <xf numFmtId="0" fontId="20" fillId="18" borderId="10" xfId="0" applyFont="1" applyFill="1" applyBorder="1" applyProtection="1">
      <protection hidden="1"/>
    </xf>
    <xf numFmtId="165" fontId="21" fillId="18" borderId="26" xfId="45" applyFont="1" applyFill="1" applyBorder="1" applyProtection="1">
      <protection hidden="1"/>
    </xf>
    <xf numFmtId="0" fontId="20" fillId="18" borderId="20" xfId="0" applyFont="1" applyFill="1" applyBorder="1" applyProtection="1">
      <protection hidden="1"/>
    </xf>
    <xf numFmtId="165" fontId="20" fillId="18" borderId="0" xfId="0" applyNumberFormat="1" applyFont="1" applyFill="1" applyBorder="1" applyProtection="1">
      <protection hidden="1"/>
    </xf>
    <xf numFmtId="165" fontId="21" fillId="18" borderId="17" xfId="0" applyNumberFormat="1" applyFont="1" applyFill="1" applyBorder="1" applyProtection="1">
      <protection hidden="1"/>
    </xf>
    <xf numFmtId="0" fontId="21" fillId="18" borderId="0" xfId="0" applyFont="1" applyFill="1" applyProtection="1">
      <protection hidden="1"/>
    </xf>
    <xf numFmtId="0" fontId="52" fillId="18" borderId="0" xfId="0" applyFont="1" applyFill="1" applyBorder="1" applyProtection="1">
      <protection hidden="1"/>
    </xf>
    <xf numFmtId="0" fontId="21" fillId="0" borderId="39" xfId="0" applyFont="1" applyFill="1" applyBorder="1" applyAlignment="1" applyProtection="1">
      <alignment horizontal="center" vertical="center"/>
    </xf>
    <xf numFmtId="0" fontId="20" fillId="0" borderId="57" xfId="0" applyFont="1" applyFill="1" applyBorder="1" applyProtection="1"/>
    <xf numFmtId="165" fontId="20" fillId="18" borderId="12" xfId="45" applyFont="1" applyFill="1" applyBorder="1" applyProtection="1"/>
    <xf numFmtId="0" fontId="20" fillId="21" borderId="0" xfId="0" applyFont="1" applyFill="1" applyProtection="1"/>
    <xf numFmtId="0" fontId="20" fillId="20" borderId="10" xfId="0" applyFont="1" applyFill="1" applyBorder="1" applyProtection="1"/>
    <xf numFmtId="0" fontId="21" fillId="0" borderId="20" xfId="0" applyFont="1" applyFill="1" applyBorder="1" applyAlignment="1" applyProtection="1">
      <alignment horizontal="center" vertical="center"/>
    </xf>
    <xf numFmtId="0" fontId="20" fillId="0" borderId="17" xfId="0" applyFont="1" applyFill="1" applyBorder="1" applyProtection="1"/>
    <xf numFmtId="0" fontId="0" fillId="18" borderId="0" xfId="0" applyFill="1" applyProtection="1">
      <protection locked="0"/>
    </xf>
    <xf numFmtId="0" fontId="0" fillId="18" borderId="19" xfId="0" applyFill="1" applyBorder="1" applyProtection="1">
      <protection locked="0"/>
    </xf>
    <xf numFmtId="0" fontId="0" fillId="18" borderId="13" xfId="0" applyFill="1" applyBorder="1" applyProtection="1">
      <protection locked="0"/>
    </xf>
    <xf numFmtId="0" fontId="100" fillId="18" borderId="0" xfId="0" applyFont="1" applyFill="1" applyBorder="1" applyProtection="1">
      <protection locked="0"/>
    </xf>
    <xf numFmtId="9" fontId="100" fillId="18" borderId="0" xfId="35" applyFont="1" applyFill="1" applyBorder="1" applyProtection="1">
      <protection locked="0"/>
    </xf>
    <xf numFmtId="0" fontId="26" fillId="18" borderId="13" xfId="0" applyFont="1" applyFill="1" applyBorder="1" applyAlignment="1">
      <alignment wrapText="1"/>
    </xf>
    <xf numFmtId="0" fontId="26" fillId="18" borderId="22" xfId="0" applyFont="1" applyFill="1" applyBorder="1"/>
    <xf numFmtId="0" fontId="26" fillId="18" borderId="24" xfId="0" applyFont="1" applyFill="1" applyBorder="1"/>
    <xf numFmtId="0" fontId="108" fillId="18" borderId="13" xfId="0" applyFont="1" applyFill="1" applyBorder="1"/>
    <xf numFmtId="173" fontId="108" fillId="18" borderId="13" xfId="35" applyNumberFormat="1" applyFont="1" applyFill="1" applyBorder="1"/>
    <xf numFmtId="43" fontId="52" fillId="18" borderId="0" xfId="0" applyNumberFormat="1" applyFont="1" applyFill="1" applyProtection="1">
      <protection hidden="1"/>
    </xf>
    <xf numFmtId="0" fontId="52" fillId="18" borderId="45" xfId="0" applyFont="1" applyFill="1" applyBorder="1" applyProtection="1">
      <protection hidden="1"/>
    </xf>
    <xf numFmtId="0" fontId="52" fillId="18" borderId="44" xfId="0" applyFont="1" applyFill="1" applyBorder="1" applyProtection="1">
      <protection hidden="1"/>
    </xf>
    <xf numFmtId="0" fontId="52" fillId="18" borderId="50" xfId="0" applyFont="1" applyFill="1" applyBorder="1" applyProtection="1">
      <protection hidden="1"/>
    </xf>
    <xf numFmtId="0" fontId="52" fillId="18" borderId="10" xfId="0" applyFont="1" applyFill="1" applyBorder="1" applyProtection="1">
      <protection hidden="1"/>
    </xf>
    <xf numFmtId="0" fontId="52" fillId="18" borderId="12" xfId="0" applyFont="1" applyFill="1" applyBorder="1" applyProtection="1">
      <protection hidden="1"/>
    </xf>
    <xf numFmtId="43" fontId="52" fillId="18" borderId="0" xfId="0" applyNumberFormat="1" applyFont="1" applyFill="1" applyBorder="1" applyProtection="1">
      <protection hidden="1"/>
    </xf>
    <xf numFmtId="173" fontId="52" fillId="18" borderId="12" xfId="35" applyNumberFormat="1" applyFont="1" applyFill="1" applyBorder="1" applyProtection="1">
      <protection hidden="1"/>
    </xf>
    <xf numFmtId="43" fontId="52" fillId="18" borderId="10" xfId="0" applyNumberFormat="1" applyFont="1" applyFill="1" applyBorder="1" applyProtection="1">
      <protection hidden="1"/>
    </xf>
    <xf numFmtId="173" fontId="52" fillId="18" borderId="10" xfId="0" applyNumberFormat="1" applyFont="1" applyFill="1" applyBorder="1" applyProtection="1">
      <protection hidden="1"/>
    </xf>
    <xf numFmtId="0" fontId="52" fillId="18" borderId="20" xfId="0" applyFont="1" applyFill="1" applyBorder="1" applyProtection="1">
      <protection hidden="1"/>
    </xf>
    <xf numFmtId="43" fontId="52" fillId="18" borderId="17" xfId="0" applyNumberFormat="1" applyFont="1" applyFill="1" applyBorder="1" applyProtection="1">
      <protection hidden="1"/>
    </xf>
    <xf numFmtId="0" fontId="52" fillId="18" borderId="51" xfId="0" applyFont="1" applyFill="1" applyBorder="1" applyProtection="1">
      <protection hidden="1"/>
    </xf>
    <xf numFmtId="0" fontId="26" fillId="18" borderId="35" xfId="0" applyFont="1" applyFill="1" applyBorder="1" applyAlignment="1" applyProtection="1">
      <alignment horizontal="center"/>
      <protection hidden="1"/>
    </xf>
    <xf numFmtId="0" fontId="26" fillId="18" borderId="36" xfId="0" applyFont="1" applyFill="1" applyBorder="1" applyAlignment="1" applyProtection="1">
      <alignment wrapText="1"/>
      <protection hidden="1"/>
    </xf>
    <xf numFmtId="0" fontId="26" fillId="18" borderId="31" xfId="0" applyFont="1" applyFill="1" applyBorder="1" applyAlignment="1" applyProtection="1">
      <alignment wrapText="1"/>
      <protection hidden="1"/>
    </xf>
    <xf numFmtId="0" fontId="26" fillId="18" borderId="32" xfId="0" applyFont="1" applyFill="1" applyBorder="1" applyAlignment="1" applyProtection="1">
      <alignment wrapText="1"/>
      <protection hidden="1"/>
    </xf>
    <xf numFmtId="0" fontId="26" fillId="18" borderId="32" xfId="0" applyFont="1" applyFill="1" applyBorder="1" applyAlignment="1" applyProtection="1">
      <alignment horizontal="center" wrapText="1"/>
      <protection hidden="1"/>
    </xf>
    <xf numFmtId="0" fontId="26" fillId="18" borderId="33" xfId="0" applyFont="1" applyFill="1" applyBorder="1" applyAlignment="1" applyProtection="1">
      <alignment wrapText="1"/>
      <protection hidden="1"/>
    </xf>
    <xf numFmtId="0" fontId="26" fillId="18" borderId="39" xfId="0" applyFont="1" applyFill="1" applyBorder="1" applyAlignment="1" applyProtection="1">
      <alignment wrapText="1"/>
      <protection hidden="1"/>
    </xf>
    <xf numFmtId="165" fontId="26" fillId="18" borderId="28" xfId="45" applyFont="1" applyFill="1" applyBorder="1" applyAlignment="1" applyProtection="1">
      <alignment horizontal="center"/>
      <protection hidden="1"/>
    </xf>
    <xf numFmtId="165" fontId="26" fillId="18" borderId="48" xfId="45" applyFont="1" applyFill="1" applyBorder="1" applyAlignment="1" applyProtection="1">
      <alignment horizontal="center"/>
      <protection hidden="1"/>
    </xf>
    <xf numFmtId="0" fontId="26" fillId="18" borderId="0" xfId="0" applyFont="1" applyFill="1" applyProtection="1">
      <protection hidden="1"/>
    </xf>
    <xf numFmtId="0" fontId="26" fillId="18" borderId="39" xfId="0" applyFont="1" applyFill="1" applyBorder="1" applyProtection="1">
      <protection hidden="1"/>
    </xf>
    <xf numFmtId="0" fontId="26" fillId="18" borderId="28" xfId="0" applyFont="1" applyFill="1" applyBorder="1" applyProtection="1">
      <protection hidden="1"/>
    </xf>
    <xf numFmtId="4" fontId="26" fillId="18" borderId="28" xfId="0" applyNumberFormat="1" applyFont="1" applyFill="1" applyBorder="1" applyProtection="1">
      <protection hidden="1"/>
    </xf>
    <xf numFmtId="0" fontId="21" fillId="18" borderId="0" xfId="0" applyFont="1" applyFill="1" applyBorder="1" applyAlignment="1" applyProtection="1">
      <alignment wrapText="1"/>
      <protection hidden="1"/>
    </xf>
    <xf numFmtId="0" fontId="21" fillId="18" borderId="19" xfId="0" applyFont="1" applyFill="1" applyBorder="1" applyAlignment="1" applyProtection="1">
      <alignment horizontal="left"/>
      <protection hidden="1"/>
    </xf>
    <xf numFmtId="165" fontId="21" fillId="18" borderId="30" xfId="0" applyNumberFormat="1" applyFont="1" applyFill="1" applyBorder="1" applyAlignment="1" applyProtection="1">
      <alignment horizontal="center"/>
      <protection hidden="1"/>
    </xf>
    <xf numFmtId="165" fontId="21" fillId="18" borderId="0" xfId="0" applyNumberFormat="1" applyFont="1" applyFill="1" applyBorder="1" applyAlignment="1" applyProtection="1">
      <alignment horizontal="center"/>
      <protection hidden="1"/>
    </xf>
    <xf numFmtId="165" fontId="21" fillId="22" borderId="69" xfId="45" applyFont="1" applyFill="1" applyBorder="1" applyAlignment="1" applyProtection="1">
      <alignment horizontal="center"/>
      <protection hidden="1"/>
    </xf>
    <xf numFmtId="165" fontId="26" fillId="22" borderId="42" xfId="0" applyNumberFormat="1" applyFont="1" applyFill="1" applyBorder="1" applyAlignment="1" applyProtection="1">
      <alignment wrapText="1"/>
      <protection hidden="1"/>
    </xf>
    <xf numFmtId="0" fontId="0" fillId="22" borderId="49" xfId="0" applyFill="1" applyBorder="1" applyProtection="1">
      <protection hidden="1"/>
    </xf>
    <xf numFmtId="165" fontId="21" fillId="18" borderId="19" xfId="0" applyNumberFormat="1" applyFont="1" applyFill="1" applyBorder="1" applyAlignment="1" applyProtection="1">
      <alignment horizontal="left"/>
      <protection hidden="1"/>
    </xf>
    <xf numFmtId="0" fontId="21" fillId="18" borderId="18" xfId="0" applyFont="1" applyFill="1" applyBorder="1" applyAlignment="1" applyProtection="1">
      <alignment horizontal="left"/>
      <protection hidden="1"/>
    </xf>
    <xf numFmtId="165" fontId="21" fillId="18" borderId="38" xfId="0" applyNumberFormat="1" applyFont="1" applyFill="1" applyBorder="1" applyAlignment="1" applyProtection="1">
      <alignment horizontal="center"/>
      <protection hidden="1"/>
    </xf>
    <xf numFmtId="0" fontId="0" fillId="18" borderId="21" xfId="0" applyFill="1" applyBorder="1" applyProtection="1">
      <protection hidden="1"/>
    </xf>
    <xf numFmtId="0" fontId="26" fillId="18" borderId="26" xfId="0" applyFont="1" applyFill="1" applyBorder="1" applyProtection="1">
      <protection hidden="1"/>
    </xf>
    <xf numFmtId="0" fontId="0" fillId="18" borderId="18" xfId="0" applyFill="1" applyBorder="1" applyProtection="1">
      <protection hidden="1"/>
    </xf>
    <xf numFmtId="0" fontId="0" fillId="18" borderId="14" xfId="0" applyFill="1" applyBorder="1" applyProtection="1">
      <protection hidden="1"/>
    </xf>
    <xf numFmtId="0" fontId="0" fillId="18" borderId="38" xfId="0" applyFill="1" applyBorder="1" applyProtection="1">
      <protection hidden="1"/>
    </xf>
    <xf numFmtId="0" fontId="26" fillId="18" borderId="0" xfId="0" applyFont="1" applyFill="1" applyBorder="1" applyAlignment="1" applyProtection="1">
      <protection hidden="1"/>
    </xf>
    <xf numFmtId="165" fontId="94" fillId="18" borderId="0" xfId="45" applyFont="1" applyFill="1" applyBorder="1" applyProtection="1">
      <protection hidden="1"/>
    </xf>
    <xf numFmtId="172" fontId="94" fillId="18" borderId="0" xfId="45" applyNumberFormat="1" applyFont="1" applyFill="1" applyBorder="1" applyAlignment="1" applyProtection="1">
      <alignment horizontal="center"/>
      <protection hidden="1"/>
    </xf>
    <xf numFmtId="165" fontId="94" fillId="18" borderId="0" xfId="45" applyFont="1" applyFill="1" applyBorder="1" applyAlignment="1" applyProtection="1">
      <alignment horizontal="center"/>
      <protection hidden="1"/>
    </xf>
    <xf numFmtId="0" fontId="31" fillId="24" borderId="39" xfId="0" applyFont="1" applyFill="1" applyBorder="1"/>
    <xf numFmtId="0" fontId="54" fillId="24" borderId="57" xfId="0" applyFont="1" applyFill="1" applyBorder="1"/>
    <xf numFmtId="0" fontId="54" fillId="24" borderId="29" xfId="0" applyFont="1" applyFill="1" applyBorder="1"/>
    <xf numFmtId="0" fontId="25" fillId="18" borderId="35" xfId="0" applyFont="1" applyFill="1" applyBorder="1" applyAlignment="1">
      <alignment horizontal="center" wrapText="1"/>
    </xf>
    <xf numFmtId="0" fontId="31" fillId="24" borderId="35" xfId="0" applyFont="1" applyFill="1" applyBorder="1" applyAlignment="1">
      <alignment horizontal="center"/>
    </xf>
    <xf numFmtId="0" fontId="22" fillId="24" borderId="57" xfId="0" applyFont="1" applyFill="1" applyBorder="1"/>
    <xf numFmtId="0" fontId="21" fillId="20" borderId="45" xfId="0" applyFont="1" applyFill="1" applyBorder="1" applyAlignment="1" applyProtection="1">
      <alignment vertical="center" wrapText="1"/>
    </xf>
    <xf numFmtId="0" fontId="21" fillId="20" borderId="50" xfId="0" applyFont="1" applyFill="1" applyBorder="1" applyAlignment="1" applyProtection="1">
      <alignment vertical="center" wrapText="1"/>
    </xf>
    <xf numFmtId="0" fontId="21" fillId="20" borderId="20" xfId="0" applyFont="1" applyFill="1" applyBorder="1" applyAlignment="1" applyProtection="1">
      <alignment vertical="center" wrapText="1"/>
    </xf>
    <xf numFmtId="0" fontId="21" fillId="20" borderId="51" xfId="0" applyFont="1" applyFill="1" applyBorder="1" applyAlignment="1" applyProtection="1">
      <alignment vertical="center" wrapText="1"/>
    </xf>
    <xf numFmtId="0" fontId="89" fillId="0" borderId="35" xfId="0" applyFont="1" applyFill="1" applyBorder="1" applyAlignment="1">
      <alignment horizontal="center"/>
    </xf>
    <xf numFmtId="0" fontId="26" fillId="24" borderId="19" xfId="0" applyFont="1" applyFill="1" applyBorder="1" applyAlignment="1">
      <alignment horizontal="center"/>
    </xf>
    <xf numFmtId="0" fontId="26" fillId="24" borderId="18" xfId="0" applyFont="1" applyFill="1" applyBorder="1" applyAlignment="1">
      <alignment horizontal="center"/>
    </xf>
    <xf numFmtId="0" fontId="26" fillId="24" borderId="21" xfId="0" applyFont="1" applyFill="1" applyBorder="1" applyAlignment="1">
      <alignment horizontal="center"/>
    </xf>
    <xf numFmtId="0" fontId="26" fillId="0" borderId="50" xfId="0" applyFont="1" applyFill="1" applyBorder="1" applyAlignment="1"/>
    <xf numFmtId="0" fontId="89" fillId="0" borderId="12" xfId="0" applyFont="1" applyFill="1" applyBorder="1"/>
    <xf numFmtId="0" fontId="25" fillId="24" borderId="11" xfId="0" applyFont="1" applyFill="1" applyBorder="1"/>
    <xf numFmtId="0" fontId="0" fillId="0" borderId="14" xfId="0" applyFill="1" applyBorder="1" applyProtection="1"/>
    <xf numFmtId="165" fontId="26" fillId="18" borderId="13" xfId="45" applyFont="1" applyFill="1" applyBorder="1" applyAlignment="1" applyProtection="1">
      <alignment horizontal="center"/>
      <protection hidden="1"/>
    </xf>
    <xf numFmtId="0" fontId="0" fillId="19" borderId="13" xfId="0" applyFill="1" applyBorder="1" applyAlignment="1" applyProtection="1">
      <alignment horizontal="center"/>
      <protection locked="0"/>
    </xf>
    <xf numFmtId="165" fontId="21" fillId="18" borderId="61" xfId="45" applyFont="1" applyFill="1" applyBorder="1" applyAlignment="1" applyProtection="1">
      <alignment horizontal="center"/>
      <protection hidden="1"/>
    </xf>
    <xf numFmtId="165" fontId="21" fillId="18" borderId="19" xfId="45" applyFont="1" applyFill="1" applyBorder="1" applyAlignment="1" applyProtection="1">
      <alignment horizontal="center"/>
      <protection hidden="1"/>
    </xf>
    <xf numFmtId="165" fontId="21" fillId="18" borderId="18" xfId="45" applyFont="1" applyFill="1" applyBorder="1" applyAlignment="1" applyProtection="1">
      <alignment horizontal="center"/>
      <protection hidden="1"/>
    </xf>
    <xf numFmtId="0" fontId="80" fillId="18" borderId="19" xfId="0" applyFont="1" applyFill="1" applyBorder="1" applyProtection="1">
      <protection hidden="1"/>
    </xf>
    <xf numFmtId="171" fontId="80" fillId="18" borderId="30" xfId="45" applyNumberFormat="1" applyFont="1" applyFill="1" applyBorder="1" applyAlignment="1" applyProtection="1">
      <alignment horizontal="center"/>
      <protection hidden="1"/>
    </xf>
    <xf numFmtId="0" fontId="21" fillId="18" borderId="10" xfId="0" applyFont="1" applyFill="1" applyBorder="1" applyAlignment="1" applyProtection="1">
      <alignment horizontal="center"/>
      <protection hidden="1"/>
    </xf>
    <xf numFmtId="0" fontId="21" fillId="18" borderId="26" xfId="0" applyFont="1" applyFill="1" applyBorder="1" applyProtection="1">
      <protection hidden="1"/>
    </xf>
    <xf numFmtId="0" fontId="21" fillId="18" borderId="19" xfId="0" applyFont="1" applyFill="1" applyBorder="1" applyAlignment="1" applyProtection="1">
      <alignment horizontal="right"/>
      <protection hidden="1"/>
    </xf>
    <xf numFmtId="165" fontId="21" fillId="18" borderId="30" xfId="45" applyFont="1" applyFill="1" applyBorder="1" applyAlignment="1" applyProtection="1">
      <alignment horizontal="center"/>
      <protection hidden="1"/>
    </xf>
    <xf numFmtId="0" fontId="21" fillId="18" borderId="18" xfId="0" applyFont="1" applyFill="1" applyBorder="1" applyAlignment="1" applyProtection="1">
      <alignment horizontal="right"/>
      <protection hidden="1"/>
    </xf>
    <xf numFmtId="165" fontId="21" fillId="18" borderId="38" xfId="45" applyFont="1" applyFill="1" applyBorder="1" applyAlignment="1" applyProtection="1">
      <alignment horizontal="center"/>
      <protection hidden="1"/>
    </xf>
    <xf numFmtId="0" fontId="20" fillId="20" borderId="40" xfId="0" applyFont="1" applyFill="1" applyBorder="1" applyProtection="1"/>
    <xf numFmtId="0" fontId="20" fillId="20" borderId="43" xfId="0" applyFont="1" applyFill="1" applyBorder="1" applyProtection="1"/>
    <xf numFmtId="0" fontId="20" fillId="20" borderId="42" xfId="0" applyFont="1" applyFill="1" applyBorder="1" applyProtection="1"/>
    <xf numFmtId="0" fontId="26" fillId="0" borderId="0" xfId="0" applyFont="1" applyFill="1" applyBorder="1" applyAlignment="1">
      <alignment horizontal="left"/>
    </xf>
    <xf numFmtId="0" fontId="25" fillId="0" borderId="0" xfId="0" applyFont="1"/>
    <xf numFmtId="43" fontId="97" fillId="0" borderId="11" xfId="45" applyNumberFormat="1" applyFont="1" applyFill="1" applyBorder="1" applyAlignment="1">
      <alignment horizontal="center"/>
    </xf>
    <xf numFmtId="43" fontId="97" fillId="0" borderId="13" xfId="45" applyNumberFormat="1" applyFont="1" applyFill="1" applyBorder="1" applyAlignment="1">
      <alignment horizontal="center"/>
    </xf>
    <xf numFmtId="175" fontId="107" fillId="0" borderId="13" xfId="45" applyNumberFormat="1" applyFont="1" applyFill="1" applyBorder="1"/>
    <xf numFmtId="175" fontId="107" fillId="0" borderId="0" xfId="45" applyNumberFormat="1" applyFont="1" applyFill="1" applyBorder="1"/>
    <xf numFmtId="43" fontId="97" fillId="0" borderId="13" xfId="45" applyNumberFormat="1" applyFont="1" applyFill="1" applyBorder="1"/>
    <xf numFmtId="43" fontId="107" fillId="0" borderId="13" xfId="45" applyNumberFormat="1" applyFont="1" applyFill="1" applyBorder="1"/>
    <xf numFmtId="165" fontId="1" fillId="0" borderId="13" xfId="45" applyFont="1" applyFill="1" applyBorder="1" applyAlignment="1">
      <alignment horizontal="center" wrapText="1"/>
    </xf>
    <xf numFmtId="43" fontId="113" fillId="0" borderId="28" xfId="45" applyNumberFormat="1" applyFont="1" applyFill="1" applyBorder="1" applyAlignment="1">
      <alignment wrapText="1"/>
    </xf>
    <xf numFmtId="43" fontId="1" fillId="0" borderId="28" xfId="45" applyNumberFormat="1" applyFont="1" applyFill="1" applyBorder="1" applyAlignment="1">
      <alignment wrapText="1"/>
    </xf>
    <xf numFmtId="43" fontId="1" fillId="0" borderId="13" xfId="45" applyNumberFormat="1" applyFont="1" applyFill="1" applyBorder="1" applyAlignment="1">
      <alignment wrapText="1"/>
    </xf>
    <xf numFmtId="167" fontId="113" fillId="0" borderId="13" xfId="45" applyNumberFormat="1" applyFont="1" applyFill="1" applyBorder="1" applyAlignment="1">
      <alignment horizontal="center" wrapText="1"/>
    </xf>
    <xf numFmtId="0" fontId="94" fillId="0" borderId="0" xfId="0" applyFont="1" applyFill="1" applyAlignment="1">
      <alignment wrapText="1"/>
    </xf>
    <xf numFmtId="0" fontId="103" fillId="0" borderId="39" xfId="0" applyFont="1" applyFill="1" applyBorder="1" applyAlignment="1">
      <alignment wrapText="1"/>
    </xf>
    <xf numFmtId="0" fontId="103" fillId="0" borderId="57" xfId="0" applyFont="1" applyFill="1" applyBorder="1" applyAlignment="1">
      <alignment wrapText="1"/>
    </xf>
    <xf numFmtId="0" fontId="112" fillId="0" borderId="35" xfId="0" applyFont="1" applyFill="1" applyBorder="1" applyAlignment="1">
      <alignment wrapText="1"/>
    </xf>
    <xf numFmtId="0" fontId="1" fillId="0" borderId="39" xfId="0" applyFont="1" applyFill="1" applyBorder="1" applyAlignment="1">
      <alignment wrapText="1"/>
    </xf>
    <xf numFmtId="0" fontId="1" fillId="0" borderId="57" xfId="0" applyFont="1" applyFill="1" applyBorder="1" applyAlignment="1">
      <alignment wrapText="1"/>
    </xf>
    <xf numFmtId="0" fontId="1" fillId="0" borderId="57" xfId="0" applyFont="1" applyFill="1" applyBorder="1" applyAlignment="1">
      <alignment horizontal="center" wrapText="1"/>
    </xf>
    <xf numFmtId="0" fontId="1" fillId="0" borderId="13" xfId="0" applyFont="1" applyFill="1" applyBorder="1" applyAlignment="1">
      <alignment horizontal="center" wrapText="1"/>
    </xf>
    <xf numFmtId="3" fontId="1" fillId="0" borderId="57" xfId="0" applyNumberFormat="1" applyFont="1" applyFill="1" applyBorder="1" applyAlignment="1">
      <alignment horizontal="center" wrapText="1"/>
    </xf>
    <xf numFmtId="3" fontId="1" fillId="0" borderId="13" xfId="0" applyNumberFormat="1" applyFont="1" applyFill="1" applyBorder="1" applyAlignment="1">
      <alignment horizontal="center" wrapText="1"/>
    </xf>
    <xf numFmtId="43" fontId="1" fillId="0" borderId="28" xfId="45" applyNumberFormat="1" applyFont="1" applyFill="1" applyBorder="1" applyAlignment="1">
      <alignment horizontal="center" wrapText="1"/>
    </xf>
    <xf numFmtId="43" fontId="113" fillId="0" borderId="28" xfId="45" applyNumberFormat="1" applyFont="1" applyFill="1" applyBorder="1" applyAlignment="1">
      <alignment horizontal="center" wrapText="1"/>
    </xf>
    <xf numFmtId="3" fontId="1" fillId="0" borderId="28" xfId="45" applyNumberFormat="1" applyFont="1" applyFill="1" applyBorder="1" applyAlignment="1">
      <alignment horizontal="center" wrapText="1"/>
    </xf>
    <xf numFmtId="176" fontId="1" fillId="0" borderId="13" xfId="0" applyNumberFormat="1" applyFont="1" applyFill="1" applyBorder="1" applyAlignment="1">
      <alignment wrapText="1"/>
    </xf>
    <xf numFmtId="176" fontId="1" fillId="0" borderId="40" xfId="0" applyNumberFormat="1" applyFont="1" applyFill="1" applyBorder="1" applyAlignment="1">
      <alignment wrapText="1"/>
    </xf>
    <xf numFmtId="0" fontId="94" fillId="0" borderId="13" xfId="0" applyFont="1" applyFill="1" applyBorder="1" applyAlignment="1">
      <alignment wrapText="1"/>
    </xf>
    <xf numFmtId="0" fontId="11" fillId="0" borderId="0" xfId="0" applyFont="1" applyFill="1"/>
    <xf numFmtId="0" fontId="106" fillId="0" borderId="0" xfId="0" applyFont="1" applyFill="1" applyAlignment="1">
      <alignment horizontal="center"/>
    </xf>
    <xf numFmtId="0" fontId="84" fillId="0" borderId="0" xfId="0" applyFont="1" applyFill="1" applyAlignment="1">
      <alignment horizontal="center"/>
    </xf>
    <xf numFmtId="167" fontId="84" fillId="0" borderId="0" xfId="0" applyNumberFormat="1" applyFont="1" applyFill="1" applyAlignment="1">
      <alignment horizontal="center"/>
    </xf>
    <xf numFmtId="43" fontId="107" fillId="0" borderId="11" xfId="45" applyNumberFormat="1" applyFont="1" applyFill="1" applyBorder="1" applyAlignment="1">
      <alignment horizontal="center"/>
    </xf>
    <xf numFmtId="3" fontId="106" fillId="0" borderId="11" xfId="0" applyNumberFormat="1" applyFont="1" applyFill="1" applyBorder="1" applyAlignment="1">
      <alignment horizontal="center"/>
    </xf>
    <xf numFmtId="176" fontId="106" fillId="0" borderId="13" xfId="0" applyNumberFormat="1" applyFont="1" applyFill="1" applyBorder="1"/>
    <xf numFmtId="0" fontId="106" fillId="0" borderId="13" xfId="0" applyFont="1" applyFill="1" applyBorder="1"/>
    <xf numFmtId="0" fontId="104" fillId="0" borderId="0" xfId="0" applyFont="1" applyFill="1"/>
    <xf numFmtId="0" fontId="94" fillId="0" borderId="0" xfId="0" applyFont="1" applyFill="1"/>
    <xf numFmtId="167" fontId="11" fillId="0" borderId="0" xfId="0" applyNumberFormat="1" applyFont="1" applyFill="1" applyAlignment="1">
      <alignment horizontal="center"/>
    </xf>
    <xf numFmtId="167" fontId="32" fillId="0" borderId="0" xfId="0" applyNumberFormat="1" applyFont="1" applyFill="1" applyAlignment="1">
      <alignment horizontal="center"/>
    </xf>
    <xf numFmtId="167" fontId="106" fillId="0" borderId="0" xfId="0" applyNumberFormat="1" applyFont="1" applyFill="1"/>
    <xf numFmtId="1" fontId="84" fillId="0" borderId="0" xfId="0" applyNumberFormat="1" applyFont="1" applyFill="1" applyAlignment="1">
      <alignment horizontal="center"/>
    </xf>
    <xf numFmtId="2" fontId="84" fillId="0" borderId="0" xfId="0" applyNumberFormat="1" applyFont="1" applyFill="1" applyAlignment="1">
      <alignment horizontal="center"/>
    </xf>
    <xf numFmtId="9" fontId="84" fillId="0" borderId="0" xfId="35" applyFont="1" applyFill="1" applyAlignment="1">
      <alignment horizontal="center"/>
    </xf>
    <xf numFmtId="165" fontId="84" fillId="0" borderId="0" xfId="45" applyFont="1" applyFill="1" applyAlignment="1">
      <alignment horizontal="center"/>
    </xf>
    <xf numFmtId="165" fontId="84" fillId="0" borderId="0" xfId="45" applyFont="1" applyFill="1" applyAlignment="1"/>
    <xf numFmtId="4" fontId="84" fillId="0" borderId="0" xfId="0" applyNumberFormat="1" applyFont="1" applyFill="1" applyAlignment="1">
      <alignment horizontal="center"/>
    </xf>
    <xf numFmtId="165" fontId="33" fillId="0" borderId="0" xfId="45" applyFont="1" applyFill="1"/>
    <xf numFmtId="165" fontId="33" fillId="0" borderId="13" xfId="45" applyFont="1" applyFill="1" applyBorder="1"/>
    <xf numFmtId="173" fontId="107" fillId="0" borderId="13" xfId="35" applyNumberFormat="1" applyFont="1" applyFill="1" applyBorder="1"/>
    <xf numFmtId="0" fontId="97" fillId="0" borderId="13" xfId="45" applyNumberFormat="1" applyFont="1" applyFill="1" applyBorder="1" applyAlignment="1">
      <alignment horizontal="center"/>
    </xf>
    <xf numFmtId="175" fontId="97" fillId="0" borderId="13" xfId="45" applyNumberFormat="1" applyFont="1" applyFill="1" applyBorder="1" applyAlignment="1">
      <alignment horizontal="center"/>
    </xf>
    <xf numFmtId="3" fontId="106" fillId="0" borderId="13" xfId="0" applyNumberFormat="1" applyFont="1" applyFill="1" applyBorder="1" applyAlignment="1">
      <alignment horizontal="center"/>
    </xf>
    <xf numFmtId="174" fontId="106" fillId="0" borderId="13" xfId="0" applyNumberFormat="1" applyFont="1" applyFill="1" applyBorder="1"/>
    <xf numFmtId="173" fontId="106" fillId="0" borderId="13" xfId="35" applyNumberFormat="1" applyFont="1" applyFill="1" applyBorder="1"/>
    <xf numFmtId="173" fontId="106" fillId="0" borderId="13" xfId="0" applyNumberFormat="1" applyFont="1" applyFill="1" applyBorder="1"/>
    <xf numFmtId="2" fontId="106" fillId="0" borderId="13" xfId="0" applyNumberFormat="1" applyFont="1" applyFill="1" applyBorder="1"/>
    <xf numFmtId="165" fontId="0" fillId="0" borderId="0" xfId="45" applyFont="1"/>
    <xf numFmtId="175" fontId="0" fillId="0" borderId="0" xfId="0" applyNumberFormat="1"/>
    <xf numFmtId="4" fontId="0" fillId="0" borderId="0" xfId="0" applyNumberFormat="1"/>
    <xf numFmtId="4" fontId="0" fillId="0" borderId="0" xfId="0" applyNumberFormat="1" applyFill="1"/>
    <xf numFmtId="4" fontId="94" fillId="24" borderId="13" xfId="0" applyNumberFormat="1" applyFont="1" applyFill="1" applyBorder="1" applyAlignment="1">
      <alignment wrapText="1"/>
    </xf>
    <xf numFmtId="0" fontId="94" fillId="24" borderId="13" xfId="0" applyFont="1" applyFill="1" applyBorder="1" applyAlignment="1">
      <alignment wrapText="1"/>
    </xf>
    <xf numFmtId="4" fontId="106" fillId="24" borderId="13" xfId="0" applyNumberFormat="1" applyFont="1" applyFill="1" applyBorder="1"/>
    <xf numFmtId="165" fontId="104" fillId="24" borderId="13" xfId="45" applyFont="1" applyFill="1" applyBorder="1"/>
    <xf numFmtId="173" fontId="104" fillId="24" borderId="13" xfId="35" applyNumberFormat="1" applyFont="1" applyFill="1" applyBorder="1"/>
    <xf numFmtId="4" fontId="104" fillId="24" borderId="13" xfId="0" applyNumberFormat="1" applyFont="1" applyFill="1" applyBorder="1" applyProtection="1"/>
    <xf numFmtId="4" fontId="26" fillId="24" borderId="15" xfId="0" applyNumberFormat="1" applyFont="1" applyFill="1" applyBorder="1" applyAlignment="1" applyProtection="1">
      <alignment wrapText="1"/>
    </xf>
    <xf numFmtId="4" fontId="26" fillId="24" borderId="37" xfId="0" applyNumberFormat="1" applyFont="1" applyFill="1" applyBorder="1" applyAlignment="1" applyProtection="1">
      <alignment wrapText="1"/>
    </xf>
    <xf numFmtId="4" fontId="0" fillId="0" borderId="0" xfId="0" applyNumberFormat="1" applyAlignment="1" applyProtection="1">
      <alignment wrapText="1"/>
    </xf>
    <xf numFmtId="0" fontId="0" fillId="0" borderId="0" xfId="0" applyAlignment="1" applyProtection="1">
      <alignment wrapText="1"/>
    </xf>
    <xf numFmtId="4" fontId="0" fillId="0" borderId="13" xfId="0" applyNumberFormat="1" applyBorder="1" applyAlignment="1" applyProtection="1">
      <alignment horizontal="center"/>
    </xf>
    <xf numFmtId="4" fontId="0" fillId="0" borderId="30" xfId="0" applyNumberFormat="1" applyBorder="1" applyAlignment="1" applyProtection="1">
      <alignment horizontal="center"/>
    </xf>
    <xf numFmtId="4" fontId="0" fillId="0" borderId="0" xfId="0" applyNumberFormat="1" applyProtection="1"/>
    <xf numFmtId="0" fontId="26" fillId="0" borderId="19" xfId="0" applyFont="1" applyBorder="1" applyProtection="1"/>
    <xf numFmtId="4" fontId="0" fillId="0" borderId="13" xfId="0" applyNumberFormat="1" applyFill="1" applyBorder="1" applyAlignment="1" applyProtection="1">
      <alignment horizontal="center"/>
    </xf>
    <xf numFmtId="0" fontId="26" fillId="0" borderId="18" xfId="0" applyFont="1" applyBorder="1" applyProtection="1"/>
    <xf numFmtId="4" fontId="0" fillId="24" borderId="14" xfId="0" applyNumberFormat="1" applyFill="1" applyBorder="1" applyAlignment="1" applyProtection="1">
      <alignment horizontal="center"/>
    </xf>
    <xf numFmtId="173" fontId="0" fillId="24" borderId="38" xfId="35" applyNumberFormat="1" applyFont="1" applyFill="1" applyBorder="1" applyAlignment="1" applyProtection="1">
      <alignment horizontal="center"/>
    </xf>
    <xf numFmtId="4" fontId="0" fillId="19" borderId="14" xfId="0" applyNumberFormat="1" applyFill="1" applyBorder="1" applyAlignment="1" applyProtection="1">
      <alignment horizontal="center"/>
      <protection locked="0"/>
    </xf>
    <xf numFmtId="0" fontId="21" fillId="20" borderId="19" xfId="0" applyFont="1" applyFill="1" applyBorder="1" applyAlignment="1" applyProtection="1">
      <alignment horizontal="center"/>
    </xf>
    <xf numFmtId="0" fontId="26" fillId="18" borderId="69" xfId="0" applyFont="1" applyFill="1" applyBorder="1" applyAlignment="1" applyProtection="1">
      <alignment horizontal="center" vertical="center"/>
      <protection locked="0"/>
    </xf>
    <xf numFmtId="0" fontId="26" fillId="18" borderId="58" xfId="0" applyFont="1" applyFill="1" applyBorder="1" applyAlignment="1" applyProtection="1">
      <alignment horizontal="center" vertical="center"/>
      <protection locked="0"/>
    </xf>
    <xf numFmtId="0" fontId="26" fillId="18" borderId="40" xfId="0" applyFont="1" applyFill="1" applyBorder="1" applyAlignment="1" applyProtection="1">
      <alignment horizontal="center"/>
      <protection locked="0"/>
    </xf>
    <xf numFmtId="0" fontId="26" fillId="18" borderId="13" xfId="0" applyFont="1" applyFill="1" applyBorder="1" applyAlignment="1" applyProtection="1">
      <alignment horizontal="center"/>
      <protection locked="0"/>
    </xf>
    <xf numFmtId="0" fontId="26" fillId="18" borderId="13" xfId="0" applyFont="1" applyFill="1" applyBorder="1" applyAlignment="1" applyProtection="1">
      <alignment horizontal="center" wrapText="1"/>
      <protection locked="0"/>
    </xf>
    <xf numFmtId="165" fontId="0" fillId="18" borderId="40" xfId="45" applyFont="1" applyFill="1" applyBorder="1" applyAlignment="1" applyProtection="1">
      <alignment horizontal="center"/>
      <protection locked="0"/>
    </xf>
    <xf numFmtId="165" fontId="0" fillId="18" borderId="13" xfId="45" applyFont="1" applyFill="1" applyBorder="1" applyProtection="1">
      <protection locked="0"/>
    </xf>
    <xf numFmtId="165" fontId="0" fillId="18" borderId="41" xfId="45" applyFont="1" applyFill="1" applyBorder="1" applyAlignment="1" applyProtection="1">
      <alignment horizontal="center"/>
      <protection locked="0"/>
    </xf>
    <xf numFmtId="165" fontId="26" fillId="18" borderId="40" xfId="45" applyFont="1" applyFill="1" applyBorder="1" applyAlignment="1" applyProtection="1">
      <alignment horizontal="center"/>
      <protection locked="0"/>
    </xf>
    <xf numFmtId="165" fontId="26" fillId="18" borderId="13" xfId="45" applyFont="1" applyFill="1" applyBorder="1" applyAlignment="1" applyProtection="1">
      <alignment horizontal="center" wrapText="1"/>
      <protection locked="0"/>
    </xf>
    <xf numFmtId="165" fontId="26" fillId="18" borderId="13" xfId="45" applyFont="1" applyFill="1" applyBorder="1" applyAlignment="1" applyProtection="1">
      <alignment horizontal="center"/>
      <protection locked="0"/>
    </xf>
    <xf numFmtId="9" fontId="26" fillId="18" borderId="13" xfId="35" applyFont="1" applyFill="1" applyBorder="1" applyAlignment="1" applyProtection="1">
      <alignment horizontal="center"/>
      <protection locked="0"/>
    </xf>
    <xf numFmtId="9" fontId="26" fillId="18" borderId="40" xfId="35" applyFont="1" applyFill="1" applyBorder="1" applyAlignment="1" applyProtection="1">
      <alignment horizontal="center"/>
      <protection locked="0"/>
    </xf>
    <xf numFmtId="0" fontId="26" fillId="18" borderId="0" xfId="0" applyFont="1" applyFill="1" applyBorder="1" applyAlignment="1" applyProtection="1">
      <alignment vertical="top" wrapText="1"/>
      <protection locked="0"/>
    </xf>
    <xf numFmtId="165" fontId="0" fillId="18" borderId="0" xfId="45" applyFont="1" applyFill="1" applyBorder="1" applyProtection="1">
      <protection locked="0"/>
    </xf>
    <xf numFmtId="0" fontId="0" fillId="18" borderId="10" xfId="0" applyFill="1" applyBorder="1" applyProtection="1">
      <protection locked="0"/>
    </xf>
    <xf numFmtId="0" fontId="0" fillId="18" borderId="12" xfId="0" applyFill="1" applyBorder="1" applyProtection="1">
      <protection locked="0"/>
    </xf>
    <xf numFmtId="0" fontId="26" fillId="18" borderId="30" xfId="0" applyFont="1" applyFill="1" applyBorder="1" applyAlignment="1" applyProtection="1">
      <alignment horizontal="center" wrapText="1"/>
      <protection locked="0"/>
    </xf>
    <xf numFmtId="165" fontId="26" fillId="18" borderId="30" xfId="45" applyFont="1" applyFill="1" applyBorder="1" applyAlignment="1" applyProtection="1">
      <alignment horizontal="center" wrapText="1"/>
      <protection locked="0"/>
    </xf>
    <xf numFmtId="165" fontId="0" fillId="18" borderId="30" xfId="45" applyFont="1" applyFill="1" applyBorder="1" applyProtection="1">
      <protection locked="0"/>
    </xf>
    <xf numFmtId="165" fontId="0" fillId="18" borderId="14" xfId="45" applyFont="1" applyFill="1" applyBorder="1" applyProtection="1">
      <protection locked="0"/>
    </xf>
    <xf numFmtId="9" fontId="26" fillId="18" borderId="14" xfId="35" applyFont="1" applyFill="1" applyBorder="1" applyAlignment="1" applyProtection="1">
      <alignment horizontal="center"/>
      <protection locked="0"/>
    </xf>
    <xf numFmtId="9" fontId="26" fillId="18" borderId="41" xfId="35" applyFont="1" applyFill="1" applyBorder="1" applyAlignment="1" applyProtection="1">
      <alignment horizontal="center"/>
      <protection locked="0"/>
    </xf>
    <xf numFmtId="165" fontId="0" fillId="18" borderId="38" xfId="45" applyFont="1" applyFill="1" applyBorder="1" applyProtection="1">
      <protection locked="0"/>
    </xf>
    <xf numFmtId="165" fontId="53" fillId="21" borderId="13" xfId="45" applyFont="1" applyFill="1" applyBorder="1" applyProtection="1"/>
    <xf numFmtId="165" fontId="54" fillId="21" borderId="13" xfId="45" applyFont="1" applyFill="1" applyBorder="1" applyAlignment="1" applyProtection="1">
      <alignment horizontal="center"/>
    </xf>
    <xf numFmtId="165" fontId="54" fillId="21" borderId="13" xfId="45" applyFont="1" applyFill="1" applyBorder="1" applyProtection="1"/>
    <xf numFmtId="165" fontId="21" fillId="21" borderId="13" xfId="45" applyFont="1" applyFill="1" applyBorder="1" applyProtection="1"/>
    <xf numFmtId="0" fontId="54" fillId="20" borderId="13" xfId="0" applyFont="1" applyFill="1" applyBorder="1" applyAlignment="1" applyProtection="1">
      <alignment horizontal="center"/>
    </xf>
    <xf numFmtId="165" fontId="54" fillId="20" borderId="13" xfId="45" applyFont="1" applyFill="1" applyBorder="1" applyAlignment="1" applyProtection="1">
      <alignment horizontal="center"/>
    </xf>
    <xf numFmtId="0" fontId="53" fillId="20" borderId="13" xfId="0" applyFont="1" applyFill="1" applyBorder="1" applyAlignment="1" applyProtection="1">
      <alignment horizontal="left" indent="2"/>
    </xf>
    <xf numFmtId="165" fontId="53" fillId="20" borderId="13" xfId="45" applyFont="1" applyFill="1" applyBorder="1" applyProtection="1"/>
    <xf numFmtId="165" fontId="54" fillId="20" borderId="13" xfId="45" applyFont="1" applyFill="1" applyBorder="1" applyProtection="1"/>
    <xf numFmtId="0" fontId="54" fillId="20" borderId="13" xfId="0" applyFont="1" applyFill="1" applyBorder="1" applyProtection="1"/>
    <xf numFmtId="0" fontId="53" fillId="20" borderId="13" xfId="0" applyFont="1" applyFill="1" applyBorder="1" applyProtection="1"/>
    <xf numFmtId="0" fontId="20" fillId="20" borderId="13" xfId="0" applyFont="1" applyFill="1" applyBorder="1" applyAlignment="1" applyProtection="1">
      <alignment horizontal="left" indent="2"/>
    </xf>
    <xf numFmtId="165" fontId="20" fillId="20" borderId="13" xfId="45" applyFont="1" applyFill="1" applyBorder="1" applyProtection="1"/>
    <xf numFmtId="9" fontId="54" fillId="20" borderId="13" xfId="35" applyFont="1" applyFill="1" applyBorder="1" applyAlignment="1" applyProtection="1">
      <alignment horizontal="center"/>
    </xf>
    <xf numFmtId="165" fontId="53" fillId="20" borderId="13" xfId="45" applyFont="1" applyFill="1" applyBorder="1" applyAlignment="1" applyProtection="1">
      <alignment horizontal="right"/>
    </xf>
    <xf numFmtId="0" fontId="20" fillId="20" borderId="13" xfId="0" applyFont="1" applyFill="1" applyBorder="1" applyAlignment="1" applyProtection="1">
      <alignment horizontal="left"/>
    </xf>
    <xf numFmtId="165" fontId="20" fillId="20" borderId="13" xfId="45" applyFont="1" applyFill="1" applyBorder="1" applyAlignment="1" applyProtection="1">
      <alignment horizontal="right"/>
    </xf>
    <xf numFmtId="165" fontId="54" fillId="20" borderId="13" xfId="45" applyFont="1" applyFill="1" applyBorder="1" applyAlignment="1" applyProtection="1">
      <alignment horizontal="right"/>
    </xf>
    <xf numFmtId="0" fontId="21" fillId="20" borderId="13" xfId="0" applyFont="1" applyFill="1" applyBorder="1" applyAlignment="1" applyProtection="1">
      <alignment horizontal="left"/>
    </xf>
    <xf numFmtId="165" fontId="55" fillId="20" borderId="13" xfId="45" applyFont="1" applyFill="1" applyBorder="1" applyProtection="1"/>
    <xf numFmtId="165" fontId="54" fillId="35" borderId="13" xfId="45" applyFont="1" applyFill="1" applyBorder="1" applyAlignment="1" applyProtection="1">
      <alignment horizontal="center"/>
    </xf>
    <xf numFmtId="165" fontId="55" fillId="35" borderId="13" xfId="45" applyFont="1" applyFill="1" applyBorder="1" applyAlignment="1" applyProtection="1">
      <alignment horizontal="center"/>
    </xf>
    <xf numFmtId="165" fontId="20" fillId="35" borderId="13" xfId="45" applyFont="1" applyFill="1" applyBorder="1" applyAlignment="1" applyProtection="1">
      <alignment horizontal="center"/>
    </xf>
    <xf numFmtId="165" fontId="53" fillId="35" borderId="13" xfId="45" applyFont="1" applyFill="1" applyBorder="1" applyAlignment="1" applyProtection="1">
      <alignment horizontal="left" indent="2"/>
    </xf>
    <xf numFmtId="165" fontId="21" fillId="35" borderId="13" xfId="45" applyFont="1" applyFill="1" applyBorder="1" applyAlignment="1" applyProtection="1">
      <alignment horizontal="left" indent="2"/>
    </xf>
    <xf numFmtId="165" fontId="53" fillId="35" borderId="13" xfId="45" applyFont="1" applyFill="1" applyBorder="1" applyProtection="1"/>
    <xf numFmtId="165" fontId="54" fillId="35" borderId="13" xfId="45" applyFont="1" applyFill="1" applyBorder="1" applyProtection="1"/>
    <xf numFmtId="0" fontId="53" fillId="18" borderId="23" xfId="0" applyFont="1" applyFill="1" applyBorder="1" applyProtection="1"/>
    <xf numFmtId="165" fontId="53" fillId="18" borderId="23" xfId="45" applyFont="1" applyFill="1" applyBorder="1" applyProtection="1"/>
    <xf numFmtId="0" fontId="38" fillId="35" borderId="39" xfId="0" applyFont="1" applyFill="1" applyBorder="1" applyAlignment="1" applyProtection="1">
      <alignment horizontal="center"/>
    </xf>
    <xf numFmtId="165" fontId="54" fillId="29" borderId="13" xfId="45" applyFont="1" applyFill="1" applyBorder="1" applyAlignment="1" applyProtection="1">
      <alignment horizontal="center"/>
    </xf>
    <xf numFmtId="165" fontId="55" fillId="29" borderId="13" xfId="45" applyFont="1" applyFill="1" applyBorder="1" applyAlignment="1" applyProtection="1">
      <alignment horizontal="center"/>
    </xf>
    <xf numFmtId="165" fontId="53" fillId="29" borderId="13" xfId="45" applyFont="1" applyFill="1" applyBorder="1" applyAlignment="1" applyProtection="1">
      <alignment horizontal="left" indent="2"/>
    </xf>
    <xf numFmtId="165" fontId="53" fillId="29" borderId="13" xfId="45" applyFont="1" applyFill="1" applyBorder="1" applyProtection="1"/>
    <xf numFmtId="165" fontId="54" fillId="29" borderId="13" xfId="45" applyFont="1" applyFill="1" applyBorder="1" applyProtection="1"/>
    <xf numFmtId="165" fontId="55" fillId="29" borderId="13" xfId="45" applyFont="1" applyFill="1" applyBorder="1" applyProtection="1"/>
    <xf numFmtId="165" fontId="54" fillId="36" borderId="13" xfId="45" applyFont="1" applyFill="1" applyBorder="1" applyAlignment="1" applyProtection="1">
      <alignment horizontal="center"/>
    </xf>
    <xf numFmtId="165" fontId="55" fillId="36" borderId="13" xfId="45" applyFont="1" applyFill="1" applyBorder="1" applyAlignment="1" applyProtection="1">
      <alignment horizontal="center"/>
    </xf>
    <xf numFmtId="165" fontId="24" fillId="36" borderId="13" xfId="45" applyFont="1" applyFill="1" applyBorder="1" applyAlignment="1" applyProtection="1">
      <alignment horizontal="left" indent="2"/>
    </xf>
    <xf numFmtId="165" fontId="53" fillId="36" borderId="13" xfId="45" applyFont="1" applyFill="1" applyBorder="1" applyProtection="1"/>
    <xf numFmtId="165" fontId="55" fillId="36" borderId="13" xfId="45" applyFont="1" applyFill="1" applyBorder="1" applyProtection="1"/>
    <xf numFmtId="165" fontId="54" fillId="36" borderId="13" xfId="45" applyFont="1" applyFill="1" applyBorder="1" applyProtection="1"/>
    <xf numFmtId="165" fontId="54" fillId="23" borderId="13" xfId="45" applyFont="1" applyFill="1" applyBorder="1" applyAlignment="1" applyProtection="1">
      <alignment horizontal="center"/>
    </xf>
    <xf numFmtId="165" fontId="55" fillId="23" borderId="13" xfId="45" applyFont="1" applyFill="1" applyBorder="1" applyAlignment="1" applyProtection="1">
      <alignment horizontal="center"/>
    </xf>
    <xf numFmtId="165" fontId="53" fillId="23" borderId="13" xfId="45" applyFont="1" applyFill="1" applyBorder="1" applyAlignment="1" applyProtection="1">
      <alignment horizontal="left" indent="2"/>
    </xf>
    <xf numFmtId="165" fontId="53" fillId="23" borderId="13" xfId="45" applyFont="1" applyFill="1" applyBorder="1" applyProtection="1"/>
    <xf numFmtId="165" fontId="55" fillId="23" borderId="13" xfId="45" applyFont="1" applyFill="1" applyBorder="1" applyProtection="1"/>
    <xf numFmtId="165" fontId="54" fillId="23" borderId="13" xfId="45" applyFont="1" applyFill="1" applyBorder="1" applyProtection="1"/>
    <xf numFmtId="165" fontId="55" fillId="21" borderId="13" xfId="45" applyFont="1" applyFill="1" applyBorder="1" applyAlignment="1" applyProtection="1">
      <alignment horizontal="center"/>
    </xf>
    <xf numFmtId="165" fontId="53" fillId="21" borderId="13" xfId="45" applyFont="1" applyFill="1" applyBorder="1" applyAlignment="1" applyProtection="1">
      <alignment horizontal="left" indent="2"/>
    </xf>
    <xf numFmtId="165" fontId="55" fillId="21" borderId="13" xfId="45" applyFont="1" applyFill="1" applyBorder="1" applyProtection="1"/>
    <xf numFmtId="165" fontId="55" fillId="35" borderId="13" xfId="45" applyFont="1" applyFill="1" applyBorder="1" applyProtection="1"/>
    <xf numFmtId="165" fontId="54" fillId="34" borderId="13" xfId="45" applyFont="1" applyFill="1" applyBorder="1" applyAlignment="1" applyProtection="1">
      <alignment horizontal="center"/>
    </xf>
    <xf numFmtId="165" fontId="55" fillId="34" borderId="13" xfId="45" applyFont="1" applyFill="1" applyBorder="1" applyAlignment="1" applyProtection="1">
      <alignment horizontal="center"/>
    </xf>
    <xf numFmtId="165" fontId="20" fillId="34" borderId="13" xfId="45" applyFont="1" applyFill="1" applyBorder="1" applyAlignment="1" applyProtection="1">
      <alignment horizontal="left" indent="2"/>
    </xf>
    <xf numFmtId="165" fontId="20" fillId="34" borderId="13" xfId="45" applyFont="1" applyFill="1" applyBorder="1" applyAlignment="1" applyProtection="1">
      <alignment horizontal="left" wrapText="1"/>
    </xf>
    <xf numFmtId="165" fontId="53" fillId="34" borderId="13" xfId="45" applyFont="1" applyFill="1" applyBorder="1" applyProtection="1"/>
    <xf numFmtId="165" fontId="55" fillId="34" borderId="13" xfId="45" applyFont="1" applyFill="1" applyBorder="1" applyProtection="1"/>
    <xf numFmtId="165" fontId="54" fillId="34" borderId="13" xfId="45" applyFont="1" applyFill="1" applyBorder="1" applyProtection="1"/>
    <xf numFmtId="0" fontId="38" fillId="29" borderId="39" xfId="0" applyFont="1" applyFill="1" applyBorder="1" applyAlignment="1" applyProtection="1">
      <alignment horizontal="center"/>
    </xf>
    <xf numFmtId="0" fontId="53" fillId="18" borderId="11" xfId="0" applyFont="1" applyFill="1" applyBorder="1" applyProtection="1"/>
    <xf numFmtId="165" fontId="53" fillId="18" borderId="11" xfId="45" applyFont="1" applyFill="1" applyBorder="1" applyProtection="1"/>
    <xf numFmtId="0" fontId="54" fillId="35" borderId="19" xfId="0" applyFont="1" applyFill="1" applyBorder="1" applyAlignment="1" applyProtection="1">
      <alignment horizontal="center"/>
    </xf>
    <xf numFmtId="0" fontId="54" fillId="35" borderId="30" xfId="0" applyFont="1" applyFill="1" applyBorder="1" applyAlignment="1" applyProtection="1">
      <alignment horizontal="center"/>
    </xf>
    <xf numFmtId="0" fontId="53" fillId="35" borderId="19" xfId="0" applyFont="1" applyFill="1" applyBorder="1" applyProtection="1"/>
    <xf numFmtId="9" fontId="54" fillId="35" borderId="30" xfId="35" applyFont="1" applyFill="1" applyBorder="1" applyAlignment="1" applyProtection="1">
      <alignment horizontal="center"/>
    </xf>
    <xf numFmtId="0" fontId="53" fillId="35" borderId="19" xfId="0" applyFont="1" applyFill="1" applyBorder="1" applyAlignment="1" applyProtection="1">
      <alignment horizontal="right"/>
    </xf>
    <xf numFmtId="0" fontId="54" fillId="35" borderId="19" xfId="0" applyFont="1" applyFill="1" applyBorder="1" applyProtection="1"/>
    <xf numFmtId="0" fontId="53" fillId="35" borderId="19" xfId="0" applyFont="1" applyFill="1" applyBorder="1" applyAlignment="1" applyProtection="1">
      <alignment horizontal="left" indent="2"/>
    </xf>
    <xf numFmtId="0" fontId="20" fillId="35" borderId="19" xfId="0" applyFont="1" applyFill="1" applyBorder="1" applyAlignment="1" applyProtection="1">
      <alignment horizontal="left"/>
    </xf>
    <xf numFmtId="0" fontId="53" fillId="35" borderId="19" xfId="0" applyFont="1" applyFill="1" applyBorder="1" applyAlignment="1" applyProtection="1">
      <alignment horizontal="right" indent="2"/>
    </xf>
    <xf numFmtId="0" fontId="54" fillId="35" borderId="19" xfId="0" applyFont="1" applyFill="1" applyBorder="1" applyAlignment="1" applyProtection="1">
      <alignment horizontal="right"/>
    </xf>
    <xf numFmtId="0" fontId="21" fillId="35" borderId="19" xfId="0" applyFont="1" applyFill="1" applyBorder="1" applyAlignment="1" applyProtection="1">
      <alignment horizontal="left"/>
    </xf>
    <xf numFmtId="0" fontId="53" fillId="35" borderId="30" xfId="0" applyFont="1" applyFill="1" applyBorder="1" applyProtection="1"/>
    <xf numFmtId="0" fontId="21" fillId="35" borderId="19" xfId="0" applyFont="1" applyFill="1" applyBorder="1" applyAlignment="1" applyProtection="1">
      <alignment horizontal="center"/>
    </xf>
    <xf numFmtId="0" fontId="53" fillId="35" borderId="18" xfId="0" applyFont="1" applyFill="1" applyBorder="1" applyProtection="1"/>
    <xf numFmtId="165" fontId="53" fillId="35" borderId="14" xfId="45" applyFont="1" applyFill="1" applyBorder="1" applyProtection="1"/>
    <xf numFmtId="0" fontId="53" fillId="35" borderId="38" xfId="0" applyFont="1" applyFill="1" applyBorder="1" applyProtection="1"/>
    <xf numFmtId="0" fontId="53" fillId="18" borderId="11" xfId="0" applyFont="1" applyFill="1" applyBorder="1" applyAlignment="1" applyProtection="1">
      <alignment horizontal="center"/>
    </xf>
    <xf numFmtId="0" fontId="54" fillId="20" borderId="19" xfId="0" applyFont="1" applyFill="1" applyBorder="1" applyAlignment="1" applyProtection="1">
      <alignment horizontal="center"/>
    </xf>
    <xf numFmtId="0" fontId="54" fillId="20" borderId="30" xfId="0" applyFont="1" applyFill="1" applyBorder="1" applyAlignment="1" applyProtection="1">
      <alignment horizontal="center"/>
    </xf>
    <xf numFmtId="0" fontId="53" fillId="20" borderId="19" xfId="0" applyFont="1" applyFill="1" applyBorder="1" applyAlignment="1" applyProtection="1">
      <alignment horizontal="left" indent="2"/>
    </xf>
    <xf numFmtId="173" fontId="54" fillId="20" borderId="30" xfId="35" applyNumberFormat="1" applyFont="1" applyFill="1" applyBorder="1" applyAlignment="1" applyProtection="1">
      <alignment horizontal="center"/>
    </xf>
    <xf numFmtId="0" fontId="54" fillId="20" borderId="19" xfId="0" applyFont="1" applyFill="1" applyBorder="1" applyAlignment="1" applyProtection="1">
      <alignment horizontal="right" indent="2"/>
    </xf>
    <xf numFmtId="0" fontId="54" fillId="20" borderId="30" xfId="0" applyNumberFormat="1" applyFont="1" applyFill="1" applyBorder="1" applyAlignment="1" applyProtection="1">
      <alignment horizontal="center"/>
    </xf>
    <xf numFmtId="0" fontId="54" fillId="20" borderId="19" xfId="0" applyFont="1" applyFill="1" applyBorder="1" applyProtection="1"/>
    <xf numFmtId="0" fontId="53" fillId="20" borderId="30" xfId="0" applyFont="1" applyFill="1" applyBorder="1" applyProtection="1"/>
    <xf numFmtId="0" fontId="20" fillId="20" borderId="19" xfId="0" applyFont="1" applyFill="1" applyBorder="1" applyAlignment="1" applyProtection="1">
      <alignment horizontal="left" indent="2"/>
    </xf>
    <xf numFmtId="9" fontId="54" fillId="20" borderId="30" xfId="35" applyFont="1" applyFill="1" applyBorder="1" applyAlignment="1" applyProtection="1">
      <alignment horizontal="center"/>
    </xf>
    <xf numFmtId="0" fontId="20" fillId="20" borderId="19" xfId="0" applyFont="1" applyFill="1" applyBorder="1" applyAlignment="1" applyProtection="1">
      <alignment horizontal="left"/>
    </xf>
    <xf numFmtId="0" fontId="54" fillId="20" borderId="19" xfId="0" applyFont="1" applyFill="1" applyBorder="1" applyAlignment="1" applyProtection="1">
      <alignment horizontal="right"/>
    </xf>
    <xf numFmtId="0" fontId="53" fillId="20" borderId="19" xfId="0" applyFont="1" applyFill="1" applyBorder="1" applyProtection="1"/>
    <xf numFmtId="0" fontId="21" fillId="20" borderId="19" xfId="0" applyFont="1" applyFill="1" applyBorder="1" applyAlignment="1" applyProtection="1">
      <alignment horizontal="left"/>
    </xf>
    <xf numFmtId="0" fontId="53" fillId="20" borderId="18" xfId="0" applyFont="1" applyFill="1" applyBorder="1" applyAlignment="1" applyProtection="1">
      <alignment horizontal="center"/>
    </xf>
    <xf numFmtId="165" fontId="53" fillId="20" borderId="14" xfId="45" applyFont="1" applyFill="1" applyBorder="1" applyProtection="1"/>
    <xf numFmtId="9" fontId="54" fillId="20" borderId="38" xfId="35" applyFont="1" applyFill="1" applyBorder="1" applyAlignment="1" applyProtection="1">
      <alignment horizontal="center"/>
    </xf>
    <xf numFmtId="0" fontId="53" fillId="18" borderId="64" xfId="0" applyFont="1" applyFill="1" applyBorder="1" applyProtection="1"/>
    <xf numFmtId="165" fontId="53" fillId="18" borderId="64" xfId="45" applyFont="1" applyFill="1" applyBorder="1" applyProtection="1"/>
    <xf numFmtId="0" fontId="53" fillId="21" borderId="19" xfId="0" applyFont="1" applyFill="1" applyBorder="1" applyProtection="1"/>
    <xf numFmtId="0" fontId="53" fillId="21" borderId="30" xfId="0" applyFont="1" applyFill="1" applyBorder="1" applyProtection="1"/>
    <xf numFmtId="0" fontId="54" fillId="21" borderId="61" xfId="0" applyFont="1" applyFill="1" applyBorder="1" applyAlignment="1" applyProtection="1"/>
    <xf numFmtId="0" fontId="54" fillId="21" borderId="30" xfId="0" applyFont="1" applyFill="1" applyBorder="1" applyAlignment="1" applyProtection="1">
      <alignment horizontal="center"/>
    </xf>
    <xf numFmtId="9" fontId="53" fillId="21" borderId="30" xfId="35" applyFont="1" applyFill="1" applyBorder="1" applyAlignment="1" applyProtection="1">
      <alignment horizontal="center"/>
    </xf>
    <xf numFmtId="165" fontId="53" fillId="21" borderId="19" xfId="0" applyNumberFormat="1" applyFont="1" applyFill="1" applyBorder="1" applyProtection="1"/>
    <xf numFmtId="9" fontId="54" fillId="21" borderId="30" xfId="0" applyNumberFormat="1" applyFont="1" applyFill="1" applyBorder="1" applyAlignment="1" applyProtection="1">
      <alignment horizontal="center"/>
    </xf>
    <xf numFmtId="0" fontId="54" fillId="21" borderId="19" xfId="0" applyFont="1" applyFill="1" applyBorder="1" applyProtection="1"/>
    <xf numFmtId="0" fontId="53" fillId="21" borderId="19" xfId="0" applyFont="1" applyFill="1" applyBorder="1" applyAlignment="1" applyProtection="1">
      <alignment horizontal="left"/>
    </xf>
    <xf numFmtId="173" fontId="54" fillId="21" borderId="30" xfId="35" applyNumberFormat="1" applyFont="1" applyFill="1" applyBorder="1" applyAlignment="1" applyProtection="1">
      <alignment horizontal="center"/>
    </xf>
    <xf numFmtId="0" fontId="53" fillId="21" borderId="19" xfId="0" applyFont="1" applyFill="1" applyBorder="1" applyAlignment="1" applyProtection="1">
      <alignment horizontal="right"/>
    </xf>
    <xf numFmtId="0" fontId="21" fillId="21" borderId="19" xfId="0" applyFont="1" applyFill="1" applyBorder="1" applyAlignment="1" applyProtection="1">
      <alignment horizontal="left"/>
    </xf>
    <xf numFmtId="0" fontId="21" fillId="21" borderId="19" xfId="0" applyFont="1" applyFill="1" applyBorder="1" applyAlignment="1" applyProtection="1">
      <alignment horizontal="center"/>
    </xf>
    <xf numFmtId="43" fontId="26" fillId="21" borderId="30" xfId="0" applyNumberFormat="1" applyFont="1" applyFill="1" applyBorder="1" applyProtection="1"/>
    <xf numFmtId="0" fontId="53" fillId="21" borderId="18" xfId="0" applyFont="1" applyFill="1" applyBorder="1" applyAlignment="1" applyProtection="1">
      <alignment horizontal="center"/>
    </xf>
    <xf numFmtId="165" fontId="53" fillId="21" borderId="14" xfId="45" applyFont="1" applyFill="1" applyBorder="1" applyProtection="1"/>
    <xf numFmtId="9" fontId="53" fillId="21" borderId="38" xfId="35" applyFont="1" applyFill="1" applyBorder="1" applyAlignment="1" applyProtection="1">
      <alignment horizontal="center"/>
    </xf>
    <xf numFmtId="0" fontId="54" fillId="29" borderId="19" xfId="0" applyFont="1" applyFill="1" applyBorder="1" applyAlignment="1" applyProtection="1">
      <alignment horizontal="center"/>
    </xf>
    <xf numFmtId="0" fontId="54" fillId="29" borderId="30" xfId="0" applyFont="1" applyFill="1" applyBorder="1" applyAlignment="1" applyProtection="1">
      <alignment horizontal="center"/>
    </xf>
    <xf numFmtId="0" fontId="53" fillId="29" borderId="19" xfId="0" applyFont="1" applyFill="1" applyBorder="1" applyProtection="1"/>
    <xf numFmtId="9" fontId="54" fillId="29" borderId="30" xfId="35" applyFont="1" applyFill="1" applyBorder="1" applyAlignment="1" applyProtection="1">
      <alignment horizontal="center"/>
    </xf>
    <xf numFmtId="0" fontId="53" fillId="29" borderId="19" xfId="0" applyFont="1" applyFill="1" applyBorder="1" applyAlignment="1" applyProtection="1">
      <alignment horizontal="left" indent="2"/>
    </xf>
    <xf numFmtId="0" fontId="53" fillId="29" borderId="19" xfId="0" applyFont="1" applyFill="1" applyBorder="1" applyAlignment="1" applyProtection="1">
      <alignment horizontal="right" indent="2"/>
    </xf>
    <xf numFmtId="0" fontId="54" fillId="29" borderId="19" xfId="0" applyFont="1" applyFill="1" applyBorder="1" applyProtection="1"/>
    <xf numFmtId="0" fontId="20" fillId="29" borderId="19" xfId="0" applyFont="1" applyFill="1" applyBorder="1" applyAlignment="1" applyProtection="1">
      <alignment horizontal="left"/>
    </xf>
    <xf numFmtId="0" fontId="54" fillId="29" borderId="19" xfId="0" applyFont="1" applyFill="1" applyBorder="1" applyAlignment="1" applyProtection="1">
      <alignment horizontal="right" indent="2"/>
    </xf>
    <xf numFmtId="0" fontId="53" fillId="29" borderId="19" xfId="0" applyFont="1" applyFill="1" applyBorder="1" applyAlignment="1" applyProtection="1">
      <alignment horizontal="right"/>
    </xf>
    <xf numFmtId="0" fontId="21" fillId="29" borderId="19" xfId="0" applyFont="1" applyFill="1" applyBorder="1" applyAlignment="1" applyProtection="1">
      <alignment horizontal="left"/>
    </xf>
    <xf numFmtId="0" fontId="53" fillId="29" borderId="30" xfId="0" applyFont="1" applyFill="1" applyBorder="1" applyProtection="1"/>
    <xf numFmtId="0" fontId="21" fillId="29" borderId="19" xfId="0" applyFont="1" applyFill="1" applyBorder="1" applyAlignment="1" applyProtection="1">
      <alignment horizontal="center"/>
    </xf>
    <xf numFmtId="0" fontId="53" fillId="29" borderId="18" xfId="0" applyFont="1" applyFill="1" applyBorder="1" applyProtection="1"/>
    <xf numFmtId="165" fontId="53" fillId="29" borderId="14" xfId="45" applyFont="1" applyFill="1" applyBorder="1" applyProtection="1"/>
    <xf numFmtId="0" fontId="53" fillId="29" borderId="38" xfId="0" applyFont="1" applyFill="1" applyBorder="1" applyProtection="1"/>
    <xf numFmtId="0" fontId="53" fillId="21" borderId="21" xfId="0" applyFont="1" applyFill="1" applyBorder="1" applyProtection="1"/>
    <xf numFmtId="165" fontId="53" fillId="21" borderId="11" xfId="45" applyFont="1" applyFill="1" applyBorder="1" applyProtection="1"/>
    <xf numFmtId="0" fontId="53" fillId="21" borderId="26" xfId="0" applyFont="1" applyFill="1" applyBorder="1" applyProtection="1"/>
    <xf numFmtId="0" fontId="114" fillId="36" borderId="39" xfId="0" applyFont="1" applyFill="1" applyBorder="1" applyAlignment="1" applyProtection="1">
      <alignment horizontal="center"/>
    </xf>
    <xf numFmtId="0" fontId="114" fillId="21" borderId="39" xfId="0" applyFont="1" applyFill="1" applyBorder="1" applyAlignment="1" applyProtection="1">
      <alignment horizontal="center"/>
    </xf>
    <xf numFmtId="0" fontId="114" fillId="35" borderId="39" xfId="0" applyFont="1" applyFill="1" applyBorder="1" applyAlignment="1" applyProtection="1">
      <alignment horizontal="center"/>
    </xf>
    <xf numFmtId="0" fontId="114" fillId="34" borderId="39" xfId="0" applyFont="1" applyFill="1" applyBorder="1" applyAlignment="1" applyProtection="1">
      <alignment horizontal="center"/>
    </xf>
    <xf numFmtId="0" fontId="114" fillId="23" borderId="39" xfId="0" applyFont="1" applyFill="1" applyBorder="1" applyAlignment="1" applyProtection="1">
      <alignment horizontal="center"/>
    </xf>
    <xf numFmtId="0" fontId="54" fillId="36" borderId="19" xfId="0" applyFont="1" applyFill="1" applyBorder="1" applyAlignment="1" applyProtection="1">
      <alignment horizontal="center"/>
    </xf>
    <xf numFmtId="0" fontId="54" fillId="36" borderId="30" xfId="0" applyFont="1" applyFill="1" applyBorder="1" applyAlignment="1" applyProtection="1">
      <alignment horizontal="center"/>
    </xf>
    <xf numFmtId="0" fontId="53" fillId="36" borderId="19" xfId="0" applyFont="1" applyFill="1" applyBorder="1" applyProtection="1"/>
    <xf numFmtId="9" fontId="54" fillId="36" borderId="30" xfId="35" applyFont="1" applyFill="1" applyBorder="1" applyAlignment="1" applyProtection="1">
      <alignment horizontal="center"/>
    </xf>
    <xf numFmtId="0" fontId="53" fillId="36" borderId="19" xfId="0" applyFont="1" applyFill="1" applyBorder="1" applyAlignment="1" applyProtection="1">
      <alignment horizontal="left" indent="2"/>
    </xf>
    <xf numFmtId="0" fontId="53" fillId="36" borderId="19" xfId="0" applyFont="1" applyFill="1" applyBorder="1" applyAlignment="1" applyProtection="1">
      <alignment horizontal="right" indent="2"/>
    </xf>
    <xf numFmtId="0" fontId="54" fillId="36" borderId="19" xfId="0" applyFont="1" applyFill="1" applyBorder="1" applyProtection="1"/>
    <xf numFmtId="0" fontId="20" fillId="36" borderId="19" xfId="0" applyFont="1" applyFill="1" applyBorder="1" applyAlignment="1" applyProtection="1">
      <alignment horizontal="left"/>
    </xf>
    <xf numFmtId="0" fontId="20" fillId="36" borderId="19" xfId="0" applyFont="1" applyFill="1" applyBorder="1" applyAlignment="1" applyProtection="1">
      <alignment horizontal="right" indent="2"/>
    </xf>
    <xf numFmtId="0" fontId="21" fillId="36" borderId="19" xfId="0" applyFont="1" applyFill="1" applyBorder="1" applyAlignment="1" applyProtection="1">
      <alignment horizontal="left"/>
    </xf>
    <xf numFmtId="0" fontId="53" fillId="36" borderId="30" xfId="0" applyFont="1" applyFill="1" applyBorder="1" applyProtection="1"/>
    <xf numFmtId="0" fontId="21" fillId="36" borderId="19" xfId="0" applyFont="1" applyFill="1" applyBorder="1" applyAlignment="1" applyProtection="1">
      <alignment horizontal="center"/>
    </xf>
    <xf numFmtId="0" fontId="53" fillId="36" borderId="18" xfId="0" applyFont="1" applyFill="1" applyBorder="1" applyProtection="1"/>
    <xf numFmtId="165" fontId="53" fillId="36" borderId="14" xfId="45" applyFont="1" applyFill="1" applyBorder="1" applyProtection="1"/>
    <xf numFmtId="0" fontId="53" fillId="36" borderId="38" xfId="0" applyFont="1" applyFill="1" applyBorder="1" applyProtection="1"/>
    <xf numFmtId="0" fontId="54" fillId="21" borderId="19" xfId="0" applyFont="1" applyFill="1" applyBorder="1" applyAlignment="1" applyProtection="1">
      <alignment horizontal="center"/>
    </xf>
    <xf numFmtId="9" fontId="54" fillId="21" borderId="30" xfId="35" applyFont="1" applyFill="1" applyBorder="1" applyAlignment="1" applyProtection="1">
      <alignment horizontal="center"/>
    </xf>
    <xf numFmtId="0" fontId="53" fillId="21" borderId="19" xfId="0" applyFont="1" applyFill="1" applyBorder="1" applyAlignment="1" applyProtection="1">
      <alignment horizontal="left" indent="2"/>
    </xf>
    <xf numFmtId="0" fontId="53" fillId="21" borderId="19" xfId="0" applyFont="1" applyFill="1" applyBorder="1" applyAlignment="1" applyProtection="1">
      <alignment horizontal="right" indent="2"/>
    </xf>
    <xf numFmtId="0" fontId="20" fillId="21" borderId="19" xfId="0" applyFont="1" applyFill="1" applyBorder="1" applyAlignment="1" applyProtection="1">
      <alignment horizontal="left"/>
    </xf>
    <xf numFmtId="0" fontId="20" fillId="21" borderId="19" xfId="0" applyFont="1" applyFill="1" applyBorder="1" applyAlignment="1" applyProtection="1">
      <alignment horizontal="right" indent="2"/>
    </xf>
    <xf numFmtId="0" fontId="20" fillId="35" borderId="19" xfId="0" applyFont="1" applyFill="1" applyBorder="1" applyAlignment="1" applyProtection="1">
      <alignment horizontal="right" indent="2"/>
    </xf>
    <xf numFmtId="0" fontId="20" fillId="35" borderId="19" xfId="0" applyFont="1" applyFill="1" applyBorder="1" applyAlignment="1" applyProtection="1">
      <alignment horizontal="right"/>
    </xf>
    <xf numFmtId="0" fontId="53" fillId="21" borderId="18" xfId="0" applyFont="1" applyFill="1" applyBorder="1" applyProtection="1"/>
    <xf numFmtId="0" fontId="53" fillId="21" borderId="38" xfId="0" applyFont="1" applyFill="1" applyBorder="1" applyProtection="1"/>
    <xf numFmtId="0" fontId="54" fillId="34" borderId="19" xfId="0" applyFont="1" applyFill="1" applyBorder="1" applyAlignment="1" applyProtection="1">
      <alignment horizontal="center"/>
    </xf>
    <xf numFmtId="0" fontId="54" fillId="34" borderId="30" xfId="0" applyFont="1" applyFill="1" applyBorder="1" applyAlignment="1" applyProtection="1">
      <alignment horizontal="center"/>
    </xf>
    <xf numFmtId="0" fontId="53" fillId="34" borderId="19" xfId="0" applyFont="1" applyFill="1" applyBorder="1" applyProtection="1"/>
    <xf numFmtId="9" fontId="54" fillId="34" borderId="30" xfId="35" applyFont="1" applyFill="1" applyBorder="1" applyAlignment="1" applyProtection="1">
      <alignment horizontal="center"/>
    </xf>
    <xf numFmtId="0" fontId="53" fillId="34" borderId="19" xfId="0" applyFont="1" applyFill="1" applyBorder="1" applyAlignment="1" applyProtection="1">
      <alignment horizontal="left" indent="2"/>
    </xf>
    <xf numFmtId="0" fontId="53" fillId="34" borderId="19" xfId="0" applyFont="1" applyFill="1" applyBorder="1" applyAlignment="1" applyProtection="1">
      <alignment horizontal="right" indent="2"/>
    </xf>
    <xf numFmtId="0" fontId="54" fillId="34" borderId="19" xfId="0" applyFont="1" applyFill="1" applyBorder="1" applyProtection="1"/>
    <xf numFmtId="0" fontId="53" fillId="34" borderId="19" xfId="0" applyFont="1" applyFill="1" applyBorder="1" applyAlignment="1" applyProtection="1">
      <alignment wrapText="1"/>
    </xf>
    <xf numFmtId="0" fontId="53" fillId="34" borderId="19" xfId="0" applyFont="1" applyFill="1" applyBorder="1" applyAlignment="1" applyProtection="1">
      <alignment horizontal="left" wrapText="1"/>
    </xf>
    <xf numFmtId="0" fontId="20" fillId="34" borderId="19" xfId="0" applyFont="1" applyFill="1" applyBorder="1" applyAlignment="1" applyProtection="1">
      <alignment horizontal="left"/>
    </xf>
    <xf numFmtId="0" fontId="20" fillId="34" borderId="19" xfId="0" applyFont="1" applyFill="1" applyBorder="1" applyAlignment="1" applyProtection="1">
      <alignment horizontal="left" indent="2"/>
    </xf>
    <xf numFmtId="0" fontId="20" fillId="34" borderId="19" xfId="0" applyFont="1" applyFill="1" applyBorder="1" applyAlignment="1" applyProtection="1">
      <alignment horizontal="left" wrapText="1"/>
    </xf>
    <xf numFmtId="0" fontId="54" fillId="34" borderId="19" xfId="0" applyFont="1" applyFill="1" applyBorder="1" applyAlignment="1" applyProtection="1">
      <alignment horizontal="left" indent="2"/>
    </xf>
    <xf numFmtId="0" fontId="20" fillId="34" borderId="19" xfId="0" applyFont="1" applyFill="1" applyBorder="1" applyAlignment="1" applyProtection="1">
      <alignment horizontal="right"/>
    </xf>
    <xf numFmtId="0" fontId="21" fillId="34" borderId="19" xfId="0" applyFont="1" applyFill="1" applyBorder="1" applyAlignment="1" applyProtection="1">
      <alignment horizontal="left"/>
    </xf>
    <xf numFmtId="0" fontId="53" fillId="34" borderId="30" xfId="0" applyFont="1" applyFill="1" applyBorder="1" applyProtection="1"/>
    <xf numFmtId="0" fontId="21" fillId="34" borderId="19" xfId="0" applyFont="1" applyFill="1" applyBorder="1" applyAlignment="1" applyProtection="1">
      <alignment horizontal="center"/>
    </xf>
    <xf numFmtId="0" fontId="21" fillId="34" borderId="18" xfId="0" applyFont="1" applyFill="1" applyBorder="1" applyAlignment="1" applyProtection="1">
      <alignment horizontal="center"/>
    </xf>
    <xf numFmtId="165" fontId="54" fillId="34" borderId="14" xfId="45" applyFont="1" applyFill="1" applyBorder="1" applyProtection="1"/>
    <xf numFmtId="0" fontId="53" fillId="34" borderId="38" xfId="0" applyFont="1" applyFill="1" applyBorder="1" applyProtection="1"/>
    <xf numFmtId="0" fontId="54" fillId="23" borderId="19" xfId="0" applyFont="1" applyFill="1" applyBorder="1" applyAlignment="1" applyProtection="1">
      <alignment horizontal="center"/>
    </xf>
    <xf numFmtId="0" fontId="54" fillId="23" borderId="30" xfId="0" applyFont="1" applyFill="1" applyBorder="1" applyAlignment="1" applyProtection="1">
      <alignment horizontal="center"/>
    </xf>
    <xf numFmtId="0" fontId="53" fillId="23" borderId="19" xfId="0" applyFont="1" applyFill="1" applyBorder="1" applyProtection="1"/>
    <xf numFmtId="9" fontId="54" fillId="23" borderId="30" xfId="35" applyFont="1" applyFill="1" applyBorder="1" applyAlignment="1" applyProtection="1">
      <alignment horizontal="center"/>
    </xf>
    <xf numFmtId="0" fontId="53" fillId="23" borderId="19" xfId="0" applyFont="1" applyFill="1" applyBorder="1" applyAlignment="1" applyProtection="1">
      <alignment horizontal="left" indent="2"/>
    </xf>
    <xf numFmtId="0" fontId="53" fillId="23" borderId="19" xfId="0" applyFont="1" applyFill="1" applyBorder="1" applyAlignment="1" applyProtection="1">
      <alignment horizontal="right" indent="2"/>
    </xf>
    <xf numFmtId="0" fontId="54" fillId="23" borderId="19" xfId="0" applyFont="1" applyFill="1" applyBorder="1" applyProtection="1"/>
    <xf numFmtId="0" fontId="53" fillId="23" borderId="19" xfId="0" applyFont="1" applyFill="1" applyBorder="1" applyAlignment="1" applyProtection="1">
      <alignment wrapText="1"/>
    </xf>
    <xf numFmtId="0" fontId="53" fillId="23" borderId="19" xfId="0" applyFont="1" applyFill="1" applyBorder="1" applyAlignment="1" applyProtection="1">
      <alignment horizontal="left" wrapText="1"/>
    </xf>
    <xf numFmtId="0" fontId="20" fillId="23" borderId="19" xfId="0" applyFont="1" applyFill="1" applyBorder="1" applyAlignment="1" applyProtection="1">
      <alignment horizontal="left"/>
    </xf>
    <xf numFmtId="0" fontId="20" fillId="23" borderId="19" xfId="0" applyFont="1" applyFill="1" applyBorder="1" applyAlignment="1" applyProtection="1">
      <alignment horizontal="left" indent="2"/>
    </xf>
    <xf numFmtId="0" fontId="54" fillId="23" borderId="19" xfId="0" applyFont="1" applyFill="1" applyBorder="1" applyAlignment="1" applyProtection="1">
      <alignment horizontal="left" indent="2"/>
    </xf>
    <xf numFmtId="0" fontId="20" fillId="23" borderId="19" xfId="0" applyFont="1" applyFill="1" applyBorder="1" applyAlignment="1" applyProtection="1">
      <alignment horizontal="right"/>
    </xf>
    <xf numFmtId="0" fontId="21" fillId="23" borderId="19" xfId="0" applyFont="1" applyFill="1" applyBorder="1" applyAlignment="1" applyProtection="1">
      <alignment horizontal="left"/>
    </xf>
    <xf numFmtId="0" fontId="53" fillId="23" borderId="30" xfId="0" applyFont="1" applyFill="1" applyBorder="1" applyProtection="1"/>
    <xf numFmtId="0" fontId="21" fillId="23" borderId="19" xfId="0" applyFont="1" applyFill="1" applyBorder="1" applyAlignment="1" applyProtection="1">
      <alignment horizontal="center"/>
    </xf>
    <xf numFmtId="0" fontId="53" fillId="23" borderId="18" xfId="0" applyFont="1" applyFill="1" applyBorder="1" applyProtection="1"/>
    <xf numFmtId="165" fontId="53" fillId="23" borderId="14" xfId="45" applyFont="1" applyFill="1" applyBorder="1" applyProtection="1"/>
    <xf numFmtId="0" fontId="53" fillId="23" borderId="38" xfId="0" applyFont="1" applyFill="1" applyBorder="1" applyProtection="1"/>
    <xf numFmtId="0" fontId="114" fillId="20" borderId="13" xfId="0" applyFont="1" applyFill="1" applyBorder="1" applyAlignment="1" applyProtection="1">
      <alignment horizontal="center"/>
    </xf>
    <xf numFmtId="165" fontId="114" fillId="20" borderId="13" xfId="45" applyFont="1" applyFill="1" applyBorder="1" applyAlignment="1" applyProtection="1">
      <alignment horizontal="center"/>
    </xf>
    <xf numFmtId="0" fontId="53" fillId="20" borderId="13" xfId="0" applyFont="1" applyFill="1" applyBorder="1" applyAlignment="1" applyProtection="1">
      <alignment horizontal="right" indent="2"/>
    </xf>
    <xf numFmtId="165" fontId="55" fillId="20" borderId="13" xfId="45" applyFont="1" applyFill="1" applyBorder="1" applyAlignment="1" applyProtection="1">
      <alignment horizontal="center"/>
    </xf>
    <xf numFmtId="0" fontId="53" fillId="20" borderId="13" xfId="0" applyFont="1" applyFill="1" applyBorder="1" applyAlignment="1" applyProtection="1">
      <alignment wrapText="1"/>
    </xf>
    <xf numFmtId="0" fontId="53" fillId="20" borderId="13" xfId="0" applyFont="1" applyFill="1" applyBorder="1" applyAlignment="1" applyProtection="1">
      <alignment horizontal="left" wrapText="1"/>
    </xf>
    <xf numFmtId="165" fontId="53" fillId="20" borderId="13" xfId="45" applyFont="1" applyFill="1" applyBorder="1" applyAlignment="1" applyProtection="1">
      <alignment horizontal="right" indent="2"/>
    </xf>
    <xf numFmtId="0" fontId="54" fillId="20" borderId="13" xfId="0" applyFont="1" applyFill="1" applyBorder="1" applyAlignment="1" applyProtection="1">
      <alignment horizontal="left" indent="2"/>
    </xf>
    <xf numFmtId="0" fontId="51" fillId="0" borderId="0" xfId="0" applyFont="1" applyFill="1" applyBorder="1" applyProtection="1"/>
    <xf numFmtId="165" fontId="115" fillId="0" borderId="0" xfId="45" applyFont="1" applyFill="1" applyBorder="1" applyProtection="1"/>
    <xf numFmtId="0" fontId="115" fillId="0" borderId="0" xfId="0" applyFont="1" applyFill="1" applyBorder="1" applyProtection="1"/>
    <xf numFmtId="0" fontId="53" fillId="0" borderId="0" xfId="0" applyFont="1" applyFill="1" applyBorder="1" applyProtection="1"/>
    <xf numFmtId="165" fontId="51" fillId="0" borderId="0" xfId="45" applyFont="1" applyFill="1" applyBorder="1" applyProtection="1"/>
    <xf numFmtId="165" fontId="51" fillId="0" borderId="0" xfId="0" applyNumberFormat="1" applyFont="1" applyFill="1" applyBorder="1" applyProtection="1"/>
    <xf numFmtId="43" fontId="51" fillId="0" borderId="0" xfId="0" applyNumberFormat="1" applyFont="1" applyFill="1" applyBorder="1" applyProtection="1"/>
    <xf numFmtId="165" fontId="51" fillId="0" borderId="0" xfId="45" applyNumberFormat="1" applyFont="1" applyFill="1" applyBorder="1" applyAlignment="1" applyProtection="1">
      <alignment horizontal="center"/>
    </xf>
    <xf numFmtId="43" fontId="63" fillId="0" borderId="0" xfId="0" applyNumberFormat="1" applyFont="1" applyFill="1" applyBorder="1" applyProtection="1"/>
    <xf numFmtId="0" fontId="69" fillId="0" borderId="0" xfId="0" applyFont="1" applyFill="1" applyBorder="1" applyProtection="1"/>
    <xf numFmtId="165" fontId="69" fillId="0" borderId="0" xfId="45" applyFont="1" applyFill="1" applyBorder="1" applyProtection="1"/>
    <xf numFmtId="43" fontId="69" fillId="0" borderId="0" xfId="0" applyNumberFormat="1" applyFont="1" applyFill="1" applyBorder="1" applyProtection="1"/>
    <xf numFmtId="0" fontId="53" fillId="0" borderId="0" xfId="0" applyFont="1" applyBorder="1" applyProtection="1"/>
    <xf numFmtId="0" fontId="26" fillId="0" borderId="13" xfId="0" applyFont="1" applyFill="1" applyBorder="1" applyAlignment="1">
      <alignment horizontal="center"/>
    </xf>
    <xf numFmtId="0" fontId="26" fillId="18" borderId="45" xfId="0" applyFont="1" applyFill="1" applyBorder="1"/>
    <xf numFmtId="0" fontId="26" fillId="18" borderId="44" xfId="0" applyFont="1" applyFill="1" applyBorder="1"/>
    <xf numFmtId="167" fontId="26" fillId="24" borderId="74" xfId="0" applyNumberFormat="1" applyFont="1" applyFill="1" applyBorder="1"/>
    <xf numFmtId="167" fontId="0" fillId="18" borderId="0" xfId="0" applyNumberFormat="1" applyFill="1" applyBorder="1"/>
    <xf numFmtId="0" fontId="116" fillId="18" borderId="35" xfId="0" applyFont="1" applyFill="1" applyBorder="1" applyAlignment="1">
      <alignment horizontal="center"/>
    </xf>
    <xf numFmtId="0" fontId="0" fillId="18" borderId="30" xfId="0" applyNumberFormat="1" applyFont="1" applyFill="1" applyBorder="1" applyAlignment="1">
      <alignment horizontal="center"/>
    </xf>
    <xf numFmtId="0" fontId="108" fillId="18" borderId="13" xfId="0" applyNumberFormat="1" applyFont="1" applyFill="1" applyBorder="1" applyAlignment="1">
      <alignment horizontal="left"/>
    </xf>
    <xf numFmtId="0" fontId="108" fillId="18" borderId="13" xfId="0" applyNumberFormat="1" applyFont="1" applyFill="1" applyBorder="1" applyAlignment="1"/>
    <xf numFmtId="165" fontId="108" fillId="18" borderId="13" xfId="45" applyFont="1" applyFill="1" applyBorder="1" applyAlignment="1"/>
    <xf numFmtId="165" fontId="108" fillId="18" borderId="13" xfId="45" applyFont="1" applyFill="1" applyBorder="1"/>
    <xf numFmtId="0" fontId="94" fillId="18" borderId="45" xfId="0" applyFont="1" applyFill="1" applyBorder="1"/>
    <xf numFmtId="0" fontId="94" fillId="18" borderId="44" xfId="0" applyFont="1" applyFill="1" applyBorder="1"/>
    <xf numFmtId="0" fontId="94" fillId="18" borderId="50" xfId="0" applyFont="1" applyFill="1" applyBorder="1"/>
    <xf numFmtId="0" fontId="94" fillId="18" borderId="10" xfId="0" applyFont="1" applyFill="1" applyBorder="1"/>
    <xf numFmtId="0" fontId="94" fillId="18" borderId="12" xfId="0" applyFont="1" applyFill="1" applyBorder="1"/>
    <xf numFmtId="0" fontId="94" fillId="0" borderId="10" xfId="0" applyFont="1" applyBorder="1"/>
    <xf numFmtId="0" fontId="94" fillId="0" borderId="0" xfId="0" applyFont="1" applyBorder="1"/>
    <xf numFmtId="0" fontId="94" fillId="0" borderId="12" xfId="0" applyFont="1" applyBorder="1"/>
    <xf numFmtId="0" fontId="94" fillId="0" borderId="20" xfId="0" applyFont="1" applyBorder="1"/>
    <xf numFmtId="0" fontId="94" fillId="0" borderId="17" xfId="0" applyFont="1" applyBorder="1"/>
    <xf numFmtId="0" fontId="94" fillId="0" borderId="51" xfId="0" applyFont="1" applyBorder="1"/>
    <xf numFmtId="165" fontId="94" fillId="18" borderId="0" xfId="0" applyNumberFormat="1" applyFont="1" applyFill="1" applyBorder="1"/>
    <xf numFmtId="0" fontId="94" fillId="18" borderId="13" xfId="0" applyFont="1" applyFill="1" applyBorder="1" applyAlignment="1">
      <alignment horizontal="center"/>
    </xf>
    <xf numFmtId="0" fontId="94" fillId="18" borderId="40" xfId="0" applyFont="1" applyFill="1" applyBorder="1" applyAlignment="1"/>
    <xf numFmtId="0" fontId="94" fillId="18" borderId="27" xfId="0" applyFont="1" applyFill="1" applyBorder="1" applyAlignment="1"/>
    <xf numFmtId="171" fontId="108" fillId="18" borderId="13" xfId="45" applyNumberFormat="1" applyFont="1" applyFill="1" applyBorder="1" applyAlignment="1"/>
    <xf numFmtId="3" fontId="94" fillId="18" borderId="0" xfId="0" applyNumberFormat="1" applyFont="1" applyFill="1" applyBorder="1" applyAlignment="1">
      <alignment horizontal="center"/>
    </xf>
    <xf numFmtId="0" fontId="104" fillId="18" borderId="0" xfId="0" applyFont="1" applyFill="1" applyBorder="1"/>
    <xf numFmtId="4" fontId="103" fillId="18" borderId="0" xfId="0" applyNumberFormat="1" applyFont="1" applyFill="1" applyBorder="1" applyAlignment="1">
      <alignment horizontal="center"/>
    </xf>
    <xf numFmtId="3" fontId="21" fillId="24" borderId="29" xfId="0" applyNumberFormat="1" applyFont="1" applyFill="1" applyBorder="1" applyAlignment="1">
      <alignment horizontal="center"/>
    </xf>
    <xf numFmtId="172" fontId="21" fillId="24" borderId="29" xfId="0" applyNumberFormat="1" applyFont="1" applyFill="1" applyBorder="1" applyAlignment="1">
      <alignment horizontal="center"/>
    </xf>
    <xf numFmtId="0" fontId="104" fillId="18" borderId="0" xfId="0" applyFont="1" applyFill="1"/>
    <xf numFmtId="0" fontId="26" fillId="24" borderId="13" xfId="0" applyFont="1" applyFill="1" applyBorder="1" applyAlignment="1">
      <alignment horizontal="center" wrapText="1"/>
    </xf>
    <xf numFmtId="165" fontId="89" fillId="0" borderId="13" xfId="45" applyFont="1" applyFill="1" applyBorder="1"/>
    <xf numFmtId="0" fontId="26" fillId="21" borderId="13" xfId="0" applyFont="1" applyFill="1" applyBorder="1" applyAlignment="1">
      <alignment horizontal="center"/>
    </xf>
    <xf numFmtId="165" fontId="89" fillId="21" borderId="13" xfId="45" applyFont="1" applyFill="1" applyBorder="1"/>
    <xf numFmtId="165" fontId="0" fillId="21" borderId="13" xfId="45" applyFont="1" applyFill="1" applyBorder="1"/>
    <xf numFmtId="165" fontId="59" fillId="21" borderId="13" xfId="45" applyFont="1" applyFill="1" applyBorder="1"/>
    <xf numFmtId="0" fontId="0" fillId="18" borderId="0" xfId="0" applyFill="1" applyBorder="1" applyAlignment="1">
      <alignment horizontal="center" wrapText="1"/>
    </xf>
    <xf numFmtId="0" fontId="26" fillId="24" borderId="19" xfId="0" applyFont="1" applyFill="1" applyBorder="1" applyAlignment="1">
      <alignment horizontal="center" wrapText="1"/>
    </xf>
    <xf numFmtId="0" fontId="26" fillId="0" borderId="35" xfId="0" applyFont="1" applyBorder="1"/>
    <xf numFmtId="0" fontId="89" fillId="0" borderId="49" xfId="0" applyFont="1" applyFill="1" applyBorder="1" applyAlignment="1">
      <alignment horizontal="center"/>
    </xf>
    <xf numFmtId="0" fontId="89" fillId="0" borderId="13" xfId="0" applyFont="1" applyFill="1" applyBorder="1" applyAlignment="1">
      <alignment horizontal="center"/>
    </xf>
    <xf numFmtId="0" fontId="25" fillId="0" borderId="13" xfId="0" applyFont="1" applyFill="1" applyBorder="1" applyAlignment="1">
      <alignment wrapText="1"/>
    </xf>
    <xf numFmtId="0" fontId="89" fillId="0" borderId="0" xfId="0" applyFont="1" applyFill="1" applyBorder="1" applyAlignment="1">
      <alignment horizontal="left"/>
    </xf>
    <xf numFmtId="0" fontId="0" fillId="18" borderId="0" xfId="0" applyFill="1" applyAlignment="1"/>
    <xf numFmtId="0" fontId="0" fillId="18" borderId="10" xfId="0" applyFill="1" applyBorder="1" applyAlignment="1">
      <alignment horizontal="center"/>
    </xf>
    <xf numFmtId="0" fontId="0" fillId="18" borderId="12" xfId="0" applyFill="1" applyBorder="1" applyAlignment="1">
      <alignment wrapText="1"/>
    </xf>
    <xf numFmtId="4" fontId="21" fillId="24" borderId="35" xfId="0" applyNumberFormat="1" applyFont="1" applyFill="1" applyBorder="1" applyAlignment="1">
      <alignment horizontal="center"/>
    </xf>
    <xf numFmtId="3" fontId="21" fillId="24" borderId="49" xfId="0" applyNumberFormat="1" applyFont="1" applyFill="1" applyBorder="1" applyAlignment="1">
      <alignment horizontal="center"/>
    </xf>
    <xf numFmtId="4" fontId="21" fillId="24" borderId="30" xfId="0" applyNumberFormat="1" applyFont="1" applyFill="1" applyBorder="1" applyAlignment="1">
      <alignment horizontal="center"/>
    </xf>
    <xf numFmtId="4" fontId="21" fillId="24" borderId="38" xfId="0" applyNumberFormat="1" applyFont="1" applyFill="1" applyBorder="1" applyAlignment="1">
      <alignment horizontal="center"/>
    </xf>
    <xf numFmtId="9" fontId="26" fillId="24" borderId="37" xfId="35" applyFont="1" applyFill="1" applyBorder="1" applyAlignment="1">
      <alignment horizontal="center"/>
    </xf>
    <xf numFmtId="9" fontId="26" fillId="24" borderId="30" xfId="35" applyFont="1" applyFill="1" applyBorder="1" applyAlignment="1">
      <alignment horizontal="center"/>
    </xf>
    <xf numFmtId="0" fontId="21" fillId="20" borderId="13" xfId="0" applyFont="1" applyFill="1" applyBorder="1" applyAlignment="1" applyProtection="1">
      <alignment horizontal="center" vertical="center" wrapText="1"/>
    </xf>
    <xf numFmtId="0" fontId="21" fillId="20" borderId="45" xfId="0" applyFont="1" applyFill="1" applyBorder="1" applyAlignment="1" applyProtection="1">
      <alignment horizontal="center"/>
    </xf>
    <xf numFmtId="0" fontId="26" fillId="30" borderId="35" xfId="0" applyFont="1" applyFill="1" applyBorder="1" applyAlignment="1" applyProtection="1">
      <alignment wrapText="1"/>
    </xf>
    <xf numFmtId="0" fontId="26" fillId="30" borderId="54" xfId="0" applyFont="1" applyFill="1" applyBorder="1" applyAlignment="1" applyProtection="1">
      <alignment wrapText="1"/>
    </xf>
    <xf numFmtId="165" fontId="20" fillId="24" borderId="26" xfId="45" applyFont="1" applyFill="1" applyBorder="1" applyProtection="1"/>
    <xf numFmtId="0" fontId="21" fillId="20" borderId="19" xfId="0" applyFont="1" applyFill="1" applyBorder="1" applyAlignment="1" applyProtection="1">
      <alignment vertical="center"/>
    </xf>
    <xf numFmtId="0" fontId="21" fillId="20" borderId="13" xfId="0" applyFont="1" applyFill="1" applyBorder="1" applyAlignment="1" applyProtection="1">
      <alignment horizontal="justify" vertical="center" wrapText="1"/>
    </xf>
    <xf numFmtId="0" fontId="26" fillId="20" borderId="13" xfId="0" applyFont="1" applyFill="1" applyBorder="1" applyAlignment="1" applyProtection="1">
      <alignment vertical="center"/>
    </xf>
    <xf numFmtId="0" fontId="54" fillId="20" borderId="30" xfId="0" applyFont="1" applyFill="1" applyBorder="1" applyAlignment="1" applyProtection="1">
      <alignment horizontal="justify" vertical="center" wrapText="1"/>
    </xf>
    <xf numFmtId="0" fontId="119" fillId="18" borderId="0" xfId="0" applyFont="1" applyFill="1" applyBorder="1" applyAlignment="1" applyProtection="1">
      <alignment vertical="center"/>
    </xf>
    <xf numFmtId="0" fontId="21" fillId="22" borderId="45" xfId="0" applyFont="1" applyFill="1" applyBorder="1" applyAlignment="1" applyProtection="1">
      <alignment horizontal="left" vertical="center"/>
    </xf>
    <xf numFmtId="0" fontId="119" fillId="22" borderId="44" xfId="0" applyFont="1" applyFill="1" applyBorder="1" applyAlignment="1" applyProtection="1">
      <alignment vertical="center"/>
    </xf>
    <xf numFmtId="0" fontId="21" fillId="22" borderId="35" xfId="0" applyFont="1" applyFill="1" applyBorder="1" applyAlignment="1" applyProtection="1">
      <alignment vertical="center" wrapText="1"/>
    </xf>
    <xf numFmtId="0" fontId="26" fillId="20" borderId="75" xfId="0" applyFont="1" applyFill="1" applyBorder="1" applyAlignment="1" applyProtection="1">
      <alignment wrapText="1"/>
    </xf>
    <xf numFmtId="0" fontId="26" fillId="20" borderId="64" xfId="0" applyFont="1" applyFill="1" applyBorder="1" applyAlignment="1" applyProtection="1">
      <alignment wrapText="1"/>
    </xf>
    <xf numFmtId="0" fontId="26" fillId="20" borderId="13" xfId="0" applyFont="1" applyFill="1" applyBorder="1" applyAlignment="1" applyProtection="1">
      <alignment horizontal="center" wrapText="1"/>
    </xf>
    <xf numFmtId="0" fontId="0" fillId="19" borderId="46" xfId="0" applyFill="1" applyBorder="1" applyProtection="1">
      <protection hidden="1"/>
    </xf>
    <xf numFmtId="0" fontId="112" fillId="18" borderId="0" xfId="0" applyFont="1" applyFill="1"/>
    <xf numFmtId="0" fontId="123" fillId="20" borderId="35" xfId="0" applyFont="1" applyFill="1" applyBorder="1" applyAlignment="1">
      <alignment horizontal="center"/>
    </xf>
    <xf numFmtId="0" fontId="26" fillId="20" borderId="24" xfId="0" applyFont="1" applyFill="1" applyBorder="1" applyAlignment="1">
      <alignment horizontal="center" vertical="center"/>
    </xf>
    <xf numFmtId="0" fontId="26" fillId="20" borderId="28" xfId="0" applyFont="1" applyFill="1" applyBorder="1" applyAlignment="1">
      <alignment horizontal="center" vertical="center"/>
    </xf>
    <xf numFmtId="0" fontId="26" fillId="20" borderId="48" xfId="0" applyFont="1" applyFill="1" applyBorder="1" applyAlignment="1">
      <alignment horizontal="center" vertical="center" wrapText="1"/>
    </xf>
    <xf numFmtId="0" fontId="26" fillId="24" borderId="21" xfId="0" applyFont="1" applyFill="1" applyBorder="1"/>
    <xf numFmtId="0" fontId="26" fillId="24" borderId="11" xfId="0" applyFont="1" applyFill="1" applyBorder="1" applyAlignment="1">
      <alignment wrapText="1"/>
    </xf>
    <xf numFmtId="0" fontId="35" fillId="24" borderId="26" xfId="0" applyFont="1" applyFill="1" applyBorder="1" applyAlignment="1">
      <alignment wrapText="1"/>
    </xf>
    <xf numFmtId="0" fontId="26" fillId="24" borderId="19" xfId="0" applyFont="1" applyFill="1" applyBorder="1"/>
    <xf numFmtId="0" fontId="26" fillId="24" borderId="13" xfId="0" applyFont="1" applyFill="1" applyBorder="1"/>
    <xf numFmtId="0" fontId="80" fillId="24" borderId="30" xfId="0" applyFont="1" applyFill="1" applyBorder="1" applyAlignment="1"/>
    <xf numFmtId="0" fontId="26" fillId="24" borderId="30" xfId="0" applyFont="1" applyFill="1" applyBorder="1"/>
    <xf numFmtId="0" fontId="26" fillId="24" borderId="13" xfId="0" applyFont="1" applyFill="1" applyBorder="1" applyAlignment="1"/>
    <xf numFmtId="0" fontId="26" fillId="24" borderId="18" xfId="0" applyFont="1" applyFill="1" applyBorder="1"/>
    <xf numFmtId="0" fontId="26" fillId="24" borderId="14" xfId="0" applyFont="1" applyFill="1" applyBorder="1"/>
    <xf numFmtId="0" fontId="26" fillId="24" borderId="38" xfId="0" applyFont="1" applyFill="1" applyBorder="1"/>
    <xf numFmtId="0" fontId="26" fillId="22" borderId="19" xfId="0" applyFont="1" applyFill="1" applyBorder="1"/>
    <xf numFmtId="0" fontId="26" fillId="22" borderId="13" xfId="0" applyFont="1" applyFill="1" applyBorder="1" applyAlignment="1"/>
    <xf numFmtId="0" fontId="122" fillId="18" borderId="10" xfId="0" applyFont="1" applyFill="1" applyBorder="1" applyAlignment="1">
      <alignment horizontal="center"/>
    </xf>
    <xf numFmtId="0" fontId="122" fillId="18" borderId="0" xfId="0" applyFont="1" applyFill="1" applyBorder="1" applyAlignment="1">
      <alignment horizontal="center"/>
    </xf>
    <xf numFmtId="0" fontId="123" fillId="18" borderId="0" xfId="0" applyFont="1" applyFill="1" applyBorder="1" applyAlignment="1">
      <alignment horizontal="center"/>
    </xf>
    <xf numFmtId="0" fontId="123" fillId="18" borderId="0" xfId="0" applyFont="1" applyFill="1" applyBorder="1" applyAlignment="1">
      <alignment horizontal="left" wrapText="1"/>
    </xf>
    <xf numFmtId="0" fontId="123" fillId="18" borderId="12" xfId="0" applyFont="1" applyFill="1" applyBorder="1" applyAlignment="1">
      <alignment horizontal="left" wrapText="1"/>
    </xf>
    <xf numFmtId="0" fontId="122" fillId="18" borderId="0" xfId="0" applyFont="1" applyFill="1" applyBorder="1" applyAlignment="1"/>
    <xf numFmtId="0" fontId="123" fillId="24" borderId="13" xfId="0" applyFont="1" applyFill="1" applyBorder="1" applyAlignment="1">
      <alignment horizontal="left" wrapText="1"/>
    </xf>
    <xf numFmtId="167" fontId="0" fillId="24" borderId="13" xfId="0" applyNumberFormat="1" applyFill="1" applyBorder="1" applyAlignment="1">
      <alignment horizontal="center"/>
    </xf>
    <xf numFmtId="167" fontId="0" fillId="24" borderId="30" xfId="0" applyNumberFormat="1" applyFill="1" applyBorder="1" applyAlignment="1">
      <alignment horizontal="center"/>
    </xf>
    <xf numFmtId="167" fontId="37" fillId="24" borderId="30" xfId="0" applyNumberFormat="1" applyFont="1" applyFill="1" applyBorder="1" applyAlignment="1">
      <alignment horizontal="center"/>
    </xf>
    <xf numFmtId="0" fontId="94" fillId="22" borderId="21" xfId="0" applyFont="1" applyFill="1" applyBorder="1"/>
    <xf numFmtId="0" fontId="94" fillId="22" borderId="19" xfId="0" applyFont="1" applyFill="1" applyBorder="1"/>
    <xf numFmtId="0" fontId="94" fillId="22" borderId="18" xfId="0" applyFont="1" applyFill="1" applyBorder="1" applyAlignment="1">
      <alignment horizontal="right"/>
    </xf>
    <xf numFmtId="0" fontId="26" fillId="22" borderId="11" xfId="0" applyFont="1" applyFill="1" applyBorder="1" applyAlignment="1">
      <alignment horizontal="center"/>
    </xf>
    <xf numFmtId="0" fontId="26" fillId="22" borderId="26" xfId="0" applyFont="1" applyFill="1" applyBorder="1" applyAlignment="1">
      <alignment horizontal="center"/>
    </xf>
    <xf numFmtId="0" fontId="26" fillId="22" borderId="12" xfId="0" applyFont="1" applyFill="1" applyBorder="1"/>
    <xf numFmtId="167" fontId="26" fillId="24" borderId="18" xfId="0" applyNumberFormat="1" applyFont="1" applyFill="1" applyBorder="1" applyAlignment="1">
      <alignment horizontal="center"/>
    </xf>
    <xf numFmtId="0" fontId="0" fillId="22" borderId="19" xfId="0" applyFill="1" applyBorder="1" applyAlignment="1">
      <alignment horizontal="center"/>
    </xf>
    <xf numFmtId="0" fontId="0" fillId="22" borderId="30" xfId="0" applyFill="1" applyBorder="1" applyAlignment="1">
      <alignment horizontal="center"/>
    </xf>
    <xf numFmtId="0" fontId="104" fillId="22" borderId="18" xfId="0" applyFont="1" applyFill="1" applyBorder="1"/>
    <xf numFmtId="0" fontId="104" fillId="22" borderId="14" xfId="0" applyFont="1" applyFill="1" applyBorder="1"/>
    <xf numFmtId="0" fontId="104" fillId="22" borderId="38" xfId="0" applyFont="1" applyFill="1" applyBorder="1"/>
    <xf numFmtId="0" fontId="89" fillId="18" borderId="0" xfId="0" applyFont="1" applyFill="1" applyBorder="1"/>
    <xf numFmtId="0" fontId="21" fillId="18" borderId="45" xfId="0" applyFont="1" applyFill="1" applyBorder="1" applyAlignment="1" applyProtection="1">
      <alignment horizontal="center"/>
      <protection locked="0"/>
    </xf>
    <xf numFmtId="0" fontId="21" fillId="18" borderId="44" xfId="0" applyFont="1" applyFill="1" applyBorder="1" applyAlignment="1" applyProtection="1">
      <alignment horizontal="center"/>
      <protection locked="0"/>
    </xf>
    <xf numFmtId="0" fontId="0" fillId="18" borderId="44" xfId="0" applyFill="1" applyBorder="1" applyProtection="1">
      <protection locked="0"/>
    </xf>
    <xf numFmtId="0" fontId="26" fillId="18" borderId="44" xfId="0" applyFont="1" applyFill="1" applyBorder="1" applyAlignment="1" applyProtection="1">
      <alignment horizontal="center"/>
      <protection locked="0"/>
    </xf>
    <xf numFmtId="0" fontId="0" fillId="18" borderId="50" xfId="0" applyFill="1" applyBorder="1" applyProtection="1">
      <protection locked="0"/>
    </xf>
    <xf numFmtId="0" fontId="0" fillId="18" borderId="0" xfId="0" applyFill="1" applyBorder="1" applyAlignment="1" applyProtection="1">
      <alignment wrapText="1"/>
      <protection locked="0"/>
    </xf>
    <xf numFmtId="0" fontId="100" fillId="18" borderId="10" xfId="0" applyFont="1" applyFill="1" applyBorder="1" applyProtection="1">
      <protection locked="0"/>
    </xf>
    <xf numFmtId="0" fontId="0" fillId="18" borderId="20" xfId="0" applyFill="1" applyBorder="1" applyProtection="1">
      <protection locked="0"/>
    </xf>
    <xf numFmtId="0" fontId="0" fillId="18" borderId="17" xfId="0" applyFill="1" applyBorder="1" applyProtection="1">
      <protection locked="0"/>
    </xf>
    <xf numFmtId="0" fontId="0" fillId="18" borderId="51" xfId="0" applyFill="1" applyBorder="1" applyProtection="1">
      <protection locked="0"/>
    </xf>
    <xf numFmtId="0" fontId="89" fillId="18" borderId="0" xfId="0" applyFont="1" applyFill="1" applyProtection="1">
      <protection locked="0"/>
    </xf>
    <xf numFmtId="0" fontId="105" fillId="18" borderId="0" xfId="0" applyFont="1" applyFill="1"/>
    <xf numFmtId="0" fontId="0" fillId="0" borderId="0" xfId="0" applyAlignment="1">
      <alignment horizontal="center" vertical="center"/>
    </xf>
    <xf numFmtId="0" fontId="0" fillId="37" borderId="0" xfId="0" applyFill="1" applyAlignment="1">
      <alignment horizontal="center" vertical="center"/>
    </xf>
    <xf numFmtId="0" fontId="106" fillId="0" borderId="0" xfId="0" applyFont="1" applyAlignment="1">
      <alignment horizontal="center" vertical="center"/>
    </xf>
    <xf numFmtId="4" fontId="0" fillId="0" borderId="0" xfId="0" applyNumberFormat="1" applyAlignment="1">
      <alignment horizontal="center" vertical="center"/>
    </xf>
    <xf numFmtId="3" fontId="0" fillId="0" borderId="0" xfId="0" applyNumberFormat="1"/>
    <xf numFmtId="0" fontId="0" fillId="0" borderId="0" xfId="0" applyBorder="1" applyAlignment="1">
      <alignment horizontal="center" vertical="center"/>
    </xf>
    <xf numFmtId="0" fontId="0" fillId="38" borderId="11" xfId="0" applyFill="1" applyBorder="1" applyAlignment="1">
      <alignment horizontal="center" wrapText="1"/>
    </xf>
    <xf numFmtId="0" fontId="0" fillId="38" borderId="64" xfId="0" applyFill="1" applyBorder="1" applyAlignment="1">
      <alignment horizontal="center" wrapText="1"/>
    </xf>
    <xf numFmtId="3" fontId="0" fillId="0" borderId="0" xfId="0" applyNumberFormat="1" applyAlignment="1">
      <alignment horizontal="center" vertical="center"/>
    </xf>
    <xf numFmtId="0" fontId="103" fillId="39" borderId="57" xfId="0" applyFont="1" applyFill="1" applyBorder="1" applyAlignment="1">
      <alignment wrapText="1"/>
    </xf>
    <xf numFmtId="0" fontId="1" fillId="39" borderId="57" xfId="0" applyFont="1" applyFill="1" applyBorder="1" applyAlignment="1">
      <alignment wrapText="1"/>
    </xf>
    <xf numFmtId="0" fontId="1" fillId="39" borderId="57" xfId="0" applyFont="1" applyFill="1" applyBorder="1" applyAlignment="1">
      <alignment horizontal="center" wrapText="1"/>
    </xf>
    <xf numFmtId="0" fontId="103" fillId="39" borderId="57" xfId="0" applyFont="1" applyFill="1" applyBorder="1" applyAlignment="1">
      <alignment horizontal="center" wrapText="1"/>
    </xf>
    <xf numFmtId="0" fontId="103" fillId="39" borderId="39" xfId="0" applyFont="1" applyFill="1" applyBorder="1" applyAlignment="1">
      <alignment wrapText="1"/>
    </xf>
    <xf numFmtId="3" fontId="1" fillId="39" borderId="57" xfId="0" applyNumberFormat="1" applyFont="1" applyFill="1" applyBorder="1" applyAlignment="1">
      <alignment horizontal="center" wrapText="1"/>
    </xf>
    <xf numFmtId="167" fontId="1" fillId="39" borderId="57" xfId="0" applyNumberFormat="1" applyFont="1" applyFill="1" applyBorder="1" applyAlignment="1">
      <alignment horizontal="center" wrapText="1"/>
    </xf>
    <xf numFmtId="0" fontId="0" fillId="0" borderId="65" xfId="0" applyBorder="1"/>
    <xf numFmtId="0" fontId="0" fillId="0" borderId="42" xfId="0" applyBorder="1"/>
    <xf numFmtId="0" fontId="0" fillId="0" borderId="81" xfId="0" applyBorder="1" applyAlignment="1">
      <alignment horizontal="center" vertical="center"/>
    </xf>
    <xf numFmtId="4" fontId="0" fillId="0" borderId="13" xfId="0" applyNumberFormat="1" applyBorder="1" applyAlignment="1">
      <alignment horizontal="center" vertical="center"/>
    </xf>
    <xf numFmtId="3" fontId="0" fillId="0" borderId="13" xfId="0" applyNumberFormat="1" applyBorder="1" applyAlignment="1">
      <alignment horizontal="center" vertical="center"/>
    </xf>
    <xf numFmtId="0" fontId="0" fillId="0" borderId="0" xfId="0" applyAlignment="1">
      <alignment vertical="center"/>
    </xf>
    <xf numFmtId="0" fontId="11" fillId="0" borderId="0" xfId="0" applyFont="1" applyAlignment="1">
      <alignment vertical="center"/>
    </xf>
    <xf numFmtId="0" fontId="11" fillId="0" borderId="0" xfId="0" applyFont="1" applyAlignment="1">
      <alignment horizontal="right" vertical="center"/>
    </xf>
    <xf numFmtId="0" fontId="11" fillId="0" borderId="0" xfId="0" applyFont="1" applyAlignment="1">
      <alignment horizontal="center" vertical="center"/>
    </xf>
    <xf numFmtId="0" fontId="11" fillId="0" borderId="0" xfId="0" applyFont="1" applyBorder="1"/>
    <xf numFmtId="0" fontId="0" fillId="0" borderId="46" xfId="0" applyBorder="1"/>
    <xf numFmtId="0" fontId="0" fillId="0" borderId="81" xfId="0" applyBorder="1"/>
    <xf numFmtId="0" fontId="0" fillId="0" borderId="58" xfId="0" applyBorder="1"/>
    <xf numFmtId="17" fontId="0" fillId="0" borderId="13" xfId="0" applyNumberFormat="1" applyBorder="1" applyAlignment="1">
      <alignment horizontal="center" vertical="center"/>
    </xf>
    <xf numFmtId="167" fontId="0" fillId="0" borderId="13" xfId="0" applyNumberFormat="1" applyBorder="1" applyAlignment="1">
      <alignment horizontal="center" vertical="center"/>
    </xf>
    <xf numFmtId="1" fontId="0" fillId="39" borderId="13" xfId="0" applyNumberFormat="1" applyFill="1" applyBorder="1" applyAlignment="1">
      <alignment horizontal="center" vertical="center"/>
    </xf>
    <xf numFmtId="3" fontId="0" fillId="39" borderId="13" xfId="0" applyNumberFormat="1" applyFill="1" applyBorder="1" applyAlignment="1">
      <alignment horizontal="center" vertical="center"/>
    </xf>
    <xf numFmtId="4" fontId="0" fillId="39" borderId="13" xfId="0" applyNumberFormat="1" applyFill="1" applyBorder="1" applyAlignment="1">
      <alignment horizontal="center" vertical="center"/>
    </xf>
    <xf numFmtId="4" fontId="0" fillId="39" borderId="0" xfId="0" applyNumberFormat="1" applyFill="1" applyBorder="1" applyAlignment="1">
      <alignment horizontal="center" vertical="center"/>
    </xf>
    <xf numFmtId="172" fontId="0" fillId="0" borderId="0" xfId="0" applyNumberFormat="1" applyBorder="1" applyAlignment="1">
      <alignment horizontal="center" vertical="center"/>
    </xf>
    <xf numFmtId="0" fontId="26" fillId="24" borderId="13" xfId="0" applyFont="1" applyFill="1" applyBorder="1" applyAlignment="1" applyProtection="1">
      <alignment horizontal="center" vertical="center"/>
    </xf>
    <xf numFmtId="0" fontId="27" fillId="22" borderId="57" xfId="0" applyFont="1" applyFill="1" applyBorder="1" applyAlignment="1" applyProtection="1">
      <alignment horizontal="center" vertical="center"/>
    </xf>
    <xf numFmtId="0" fontId="27" fillId="22" borderId="29" xfId="0" applyFont="1" applyFill="1" applyBorder="1" applyAlignment="1" applyProtection="1">
      <alignment horizontal="center" vertical="center"/>
    </xf>
    <xf numFmtId="0" fontId="27" fillId="22" borderId="35" xfId="0" applyFont="1" applyFill="1" applyBorder="1" applyAlignment="1" applyProtection="1">
      <alignment horizontal="center" vertical="center"/>
    </xf>
    <xf numFmtId="0" fontId="27" fillId="24" borderId="49" xfId="0" applyFont="1" applyFill="1" applyBorder="1" applyAlignment="1" applyProtection="1">
      <alignment horizontal="center" vertical="center"/>
    </xf>
    <xf numFmtId="0" fontId="0" fillId="24" borderId="30" xfId="0" applyFill="1" applyBorder="1" applyAlignment="1" applyProtection="1">
      <alignment horizontal="center" vertical="center"/>
    </xf>
    <xf numFmtId="0" fontId="0" fillId="18" borderId="0" xfId="0" applyFill="1" applyBorder="1" applyAlignment="1" applyProtection="1">
      <alignment horizontal="center" vertical="center"/>
    </xf>
    <xf numFmtId="0" fontId="0" fillId="18" borderId="12" xfId="0" applyFill="1" applyBorder="1" applyAlignment="1" applyProtection="1">
      <alignment horizontal="center" vertical="center"/>
    </xf>
    <xf numFmtId="3" fontId="26" fillId="24" borderId="28" xfId="0" applyNumberFormat="1" applyFont="1" applyFill="1" applyBorder="1" applyAlignment="1" applyProtection="1">
      <alignment horizontal="center" vertical="center"/>
    </xf>
    <xf numFmtId="0" fontId="20" fillId="0" borderId="0" xfId="0" applyFont="1" applyAlignment="1" applyProtection="1">
      <alignment horizontal="center" vertical="center"/>
    </xf>
    <xf numFmtId="0" fontId="20" fillId="18" borderId="0" xfId="0" applyFont="1" applyFill="1" applyAlignment="1" applyProtection="1">
      <alignment horizontal="center" vertical="center"/>
    </xf>
    <xf numFmtId="0" fontId="20" fillId="18" borderId="12" xfId="0" applyFont="1" applyFill="1" applyBorder="1" applyAlignment="1" applyProtection="1">
      <alignment horizontal="center" vertical="center"/>
    </xf>
    <xf numFmtId="4" fontId="20" fillId="18" borderId="0" xfId="0" applyNumberFormat="1" applyFont="1" applyFill="1" applyBorder="1" applyAlignment="1" applyProtection="1">
      <alignment horizontal="center" vertical="center"/>
    </xf>
    <xf numFmtId="3" fontId="20" fillId="0" borderId="0" xfId="0" applyNumberFormat="1" applyFont="1" applyAlignment="1" applyProtection="1">
      <alignment horizontal="center" vertical="center"/>
    </xf>
    <xf numFmtId="0" fontId="129" fillId="18" borderId="0" xfId="0" applyFont="1" applyFill="1" applyBorder="1" applyProtection="1"/>
    <xf numFmtId="0" fontId="37" fillId="24" borderId="40" xfId="0" applyFont="1" applyFill="1" applyBorder="1" applyProtection="1">
      <protection hidden="1"/>
    </xf>
    <xf numFmtId="0" fontId="11" fillId="0" borderId="0" xfId="0" applyFont="1" applyBorder="1" applyAlignment="1">
      <alignment horizontal="right" vertical="center"/>
    </xf>
    <xf numFmtId="1" fontId="26" fillId="39" borderId="13" xfId="0" applyNumberFormat="1" applyFont="1" applyFill="1" applyBorder="1" applyAlignment="1">
      <alignment horizontal="center" vertical="center"/>
    </xf>
    <xf numFmtId="0" fontId="11" fillId="0" borderId="13" xfId="0" applyFont="1" applyBorder="1"/>
    <xf numFmtId="0" fontId="29" fillId="20" borderId="0" xfId="0" applyFont="1" applyFill="1" applyBorder="1" applyAlignment="1" applyProtection="1">
      <alignment horizontal="center"/>
    </xf>
    <xf numFmtId="0" fontId="21" fillId="20" borderId="10" xfId="0" applyFont="1" applyFill="1" applyBorder="1" applyAlignment="1" applyProtection="1">
      <alignment wrapText="1"/>
    </xf>
    <xf numFmtId="0" fontId="21" fillId="21" borderId="65" xfId="0" applyFont="1" applyFill="1" applyBorder="1" applyProtection="1"/>
    <xf numFmtId="0" fontId="21" fillId="20" borderId="0" xfId="0" applyFont="1" applyFill="1" applyBorder="1" applyAlignment="1" applyProtection="1">
      <alignment horizontal="center"/>
    </xf>
    <xf numFmtId="0" fontId="21" fillId="20" borderId="0" xfId="0" applyFont="1" applyFill="1" applyBorder="1" applyAlignment="1" applyProtection="1">
      <alignment wrapText="1"/>
    </xf>
    <xf numFmtId="0" fontId="20" fillId="21" borderId="65" xfId="0" applyFont="1" applyFill="1" applyBorder="1" applyProtection="1"/>
    <xf numFmtId="0" fontId="76" fillId="20" borderId="0" xfId="0" applyFont="1" applyFill="1" applyBorder="1" applyAlignment="1" applyProtection="1">
      <alignment wrapText="1"/>
    </xf>
    <xf numFmtId="0" fontId="67" fillId="18" borderId="0" xfId="0" applyFont="1" applyFill="1" applyBorder="1" applyAlignment="1" applyProtection="1"/>
    <xf numFmtId="0" fontId="20" fillId="18" borderId="0" xfId="0" applyFont="1" applyFill="1" applyBorder="1" applyAlignment="1" applyProtection="1">
      <alignment horizontal="left"/>
    </xf>
    <xf numFmtId="0" fontId="61" fillId="18" borderId="0" xfId="0" applyFont="1" applyFill="1" applyBorder="1" applyProtection="1"/>
    <xf numFmtId="0" fontId="20" fillId="18" borderId="0" xfId="0" applyFont="1" applyFill="1" applyBorder="1" applyAlignment="1" applyProtection="1"/>
    <xf numFmtId="0" fontId="130" fillId="18" borderId="0" xfId="0" applyFont="1" applyFill="1" applyBorder="1" applyAlignment="1" applyProtection="1">
      <alignment vertical="center"/>
    </xf>
    <xf numFmtId="0" fontId="131" fillId="18" borderId="0" xfId="0" applyFont="1" applyFill="1" applyBorder="1" applyAlignment="1" applyProtection="1"/>
    <xf numFmtId="0" fontId="129" fillId="18" borderId="0" xfId="0" applyFont="1" applyFill="1" applyBorder="1" applyAlignment="1" applyProtection="1">
      <alignment horizontal="left"/>
    </xf>
    <xf numFmtId="0" fontId="20" fillId="21" borderId="35" xfId="0" applyFont="1" applyFill="1" applyBorder="1" applyAlignment="1" applyProtection="1">
      <alignment horizontal="center" vertical="center"/>
    </xf>
    <xf numFmtId="0" fontId="20" fillId="18" borderId="17" xfId="0" applyFont="1" applyFill="1" applyBorder="1" applyAlignment="1" applyProtection="1">
      <alignment horizontal="center" vertical="center"/>
    </xf>
    <xf numFmtId="0" fontId="21" fillId="20" borderId="54" xfId="0" applyFont="1" applyFill="1" applyBorder="1" applyAlignment="1" applyProtection="1">
      <alignment vertical="center" wrapText="1"/>
    </xf>
    <xf numFmtId="0" fontId="0" fillId="0" borderId="0" xfId="0" applyAlignment="1" applyProtection="1">
      <alignment horizontal="center" vertical="center"/>
    </xf>
    <xf numFmtId="0" fontId="89" fillId="0" borderId="0" xfId="0" applyFont="1" applyAlignment="1" applyProtection="1">
      <alignment horizontal="center" vertical="center"/>
    </xf>
    <xf numFmtId="0" fontId="20" fillId="18" borderId="39" xfId="0" applyFont="1" applyFill="1" applyBorder="1" applyAlignment="1" applyProtection="1">
      <alignment horizontal="right" vertical="center"/>
    </xf>
    <xf numFmtId="0" fontId="20" fillId="18" borderId="29" xfId="0" applyFont="1" applyFill="1" applyBorder="1" applyAlignment="1" applyProtection="1">
      <alignment horizontal="right" vertical="center"/>
    </xf>
    <xf numFmtId="167" fontId="21" fillId="21" borderId="54"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wrapText="1"/>
    </xf>
    <xf numFmtId="165" fontId="20" fillId="0" borderId="0" xfId="45" applyFont="1" applyBorder="1" applyAlignment="1" applyProtection="1">
      <alignment horizontal="center" vertical="center"/>
    </xf>
    <xf numFmtId="0" fontId="20" fillId="0" borderId="0" xfId="0" applyFont="1" applyBorder="1" applyAlignment="1" applyProtection="1">
      <alignment horizontal="center" vertical="center"/>
    </xf>
    <xf numFmtId="165" fontId="22" fillId="0" borderId="0" xfId="45" applyFont="1" applyBorder="1" applyAlignment="1" applyProtection="1">
      <alignment horizontal="center" vertical="center"/>
    </xf>
    <xf numFmtId="165" fontId="22" fillId="0" borderId="14" xfId="0" applyNumberFormat="1" applyFont="1" applyBorder="1" applyAlignment="1" applyProtection="1">
      <alignment horizontal="center" vertical="center"/>
    </xf>
    <xf numFmtId="0" fontId="22" fillId="0" borderId="0" xfId="0" applyFont="1" applyAlignment="1" applyProtection="1">
      <alignment horizontal="center" vertical="center"/>
    </xf>
    <xf numFmtId="0" fontId="22" fillId="18" borderId="0" xfId="0" applyFont="1" applyFill="1" applyBorder="1" applyAlignment="1" applyProtection="1">
      <alignment horizontal="center" vertical="center"/>
    </xf>
    <xf numFmtId="0" fontId="60" fillId="18" borderId="0" xfId="0" applyFont="1" applyFill="1" applyBorder="1" applyAlignment="1" applyProtection="1">
      <alignment horizontal="center" vertical="center"/>
    </xf>
    <xf numFmtId="4" fontId="0" fillId="0" borderId="13" xfId="0" applyNumberFormat="1" applyFill="1" applyBorder="1" applyAlignment="1">
      <alignment horizontal="center" vertical="center"/>
    </xf>
    <xf numFmtId="0" fontId="0" fillId="18" borderId="0" xfId="0" applyFill="1" applyBorder="1" applyAlignment="1" applyProtection="1">
      <alignment horizontal="center" vertical="center"/>
      <protection hidden="1"/>
    </xf>
    <xf numFmtId="0" fontId="0" fillId="18" borderId="17" xfId="0" applyFill="1" applyBorder="1" applyAlignment="1" applyProtection="1">
      <alignment horizontal="center" vertical="center"/>
      <protection hidden="1"/>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center" vertical="top"/>
    </xf>
    <xf numFmtId="167" fontId="0" fillId="0" borderId="0" xfId="0" applyNumberFormat="1" applyBorder="1" applyAlignment="1">
      <alignment horizontal="center" vertical="center"/>
    </xf>
    <xf numFmtId="0" fontId="26" fillId="0" borderId="0" xfId="0" applyFont="1" applyBorder="1" applyAlignment="1">
      <alignment horizontal="center" vertical="center"/>
    </xf>
    <xf numFmtId="3" fontId="0" fillId="0" borderId="0" xfId="0" applyNumberFormat="1" applyBorder="1"/>
    <xf numFmtId="0" fontId="11" fillId="0" borderId="81" xfId="0" applyFont="1" applyBorder="1" applyAlignment="1">
      <alignment horizontal="right" vertical="center"/>
    </xf>
    <xf numFmtId="0" fontId="132" fillId="0" borderId="0" xfId="0" applyFont="1" applyBorder="1"/>
    <xf numFmtId="0" fontId="132" fillId="0" borderId="0" xfId="0" applyFont="1" applyBorder="1" applyAlignment="1">
      <alignment horizontal="center" vertical="center"/>
    </xf>
    <xf numFmtId="0" fontId="132" fillId="0" borderId="0" xfId="0" applyFont="1" applyFill="1" applyBorder="1" applyAlignment="1">
      <alignment horizontal="center" vertical="center"/>
    </xf>
    <xf numFmtId="0" fontId="132" fillId="0" borderId="0" xfId="0" applyFont="1" applyFill="1" applyBorder="1"/>
    <xf numFmtId="4" fontId="26" fillId="0" borderId="40" xfId="0" applyNumberFormat="1" applyFont="1" applyBorder="1" applyAlignment="1">
      <alignment horizontal="center"/>
    </xf>
    <xf numFmtId="0" fontId="132" fillId="0" borderId="46" xfId="0" applyFont="1" applyBorder="1"/>
    <xf numFmtId="0" fontId="132" fillId="0" borderId="65" xfId="0" applyFont="1" applyBorder="1"/>
    <xf numFmtId="0" fontId="132" fillId="0" borderId="46" xfId="0" applyFont="1" applyFill="1" applyBorder="1"/>
    <xf numFmtId="0" fontId="20" fillId="0" borderId="0" xfId="0" applyFont="1" applyFill="1" applyBorder="1" applyAlignment="1" applyProtection="1">
      <alignment horizontal="center" wrapText="1"/>
    </xf>
    <xf numFmtId="0" fontId="21" fillId="0" borderId="0" xfId="0" applyFont="1" applyFill="1" applyBorder="1" applyAlignment="1" applyProtection="1">
      <alignment horizontal="center" vertical="center" wrapText="1"/>
    </xf>
    <xf numFmtId="3" fontId="26" fillId="24" borderId="24" xfId="0" applyNumberFormat="1" applyFont="1" applyFill="1" applyBorder="1" applyAlignment="1" applyProtection="1">
      <alignment horizontal="center" vertical="center"/>
    </xf>
    <xf numFmtId="0" fontId="11" fillId="18" borderId="0" xfId="0" applyFont="1" applyFill="1" applyBorder="1" applyProtection="1"/>
    <xf numFmtId="0" fontId="127" fillId="18" borderId="0" xfId="0" applyFont="1" applyFill="1" applyBorder="1" applyAlignment="1" applyProtection="1">
      <alignment horizontal="left" vertical="center"/>
    </xf>
    <xf numFmtId="165" fontId="26" fillId="18" borderId="0" xfId="45" applyFont="1" applyFill="1" applyBorder="1" applyProtection="1"/>
    <xf numFmtId="165" fontId="11" fillId="18" borderId="0" xfId="0" applyNumberFormat="1" applyFont="1" applyFill="1" applyBorder="1" applyProtection="1"/>
    <xf numFmtId="165" fontId="21" fillId="21" borderId="52" xfId="0" applyNumberFormat="1" applyFont="1" applyFill="1" applyBorder="1" applyProtection="1"/>
    <xf numFmtId="165" fontId="21" fillId="21" borderId="82" xfId="0" applyNumberFormat="1" applyFont="1" applyFill="1" applyBorder="1" applyProtection="1"/>
    <xf numFmtId="165" fontId="21" fillId="21" borderId="68" xfId="0" applyNumberFormat="1" applyFont="1" applyFill="1" applyBorder="1" applyProtection="1"/>
    <xf numFmtId="165" fontId="21" fillId="18" borderId="43" xfId="0" applyNumberFormat="1" applyFont="1" applyFill="1" applyBorder="1" applyAlignment="1" applyProtection="1"/>
    <xf numFmtId="165" fontId="21" fillId="18" borderId="84" xfId="0" applyNumberFormat="1" applyFont="1" applyFill="1" applyBorder="1" applyAlignment="1" applyProtection="1"/>
    <xf numFmtId="0" fontId="11" fillId="18" borderId="84" xfId="0" applyFont="1" applyFill="1" applyBorder="1" applyProtection="1"/>
    <xf numFmtId="0" fontId="11" fillId="18" borderId="59" xfId="0" applyFont="1" applyFill="1" applyBorder="1" applyProtection="1"/>
    <xf numFmtId="0" fontId="26" fillId="18" borderId="65" xfId="0" applyFont="1" applyFill="1" applyBorder="1" applyAlignment="1" applyProtection="1">
      <alignment horizontal="center" vertical="center" wrapText="1"/>
    </xf>
    <xf numFmtId="0" fontId="11" fillId="18" borderId="46" xfId="0" applyFont="1" applyFill="1" applyBorder="1" applyProtection="1"/>
    <xf numFmtId="0" fontId="26" fillId="18" borderId="65" xfId="0" applyFont="1" applyFill="1" applyBorder="1" applyAlignment="1" applyProtection="1">
      <alignment wrapText="1"/>
    </xf>
    <xf numFmtId="0" fontId="26" fillId="18" borderId="42" xfId="0" applyFont="1" applyFill="1" applyBorder="1" applyAlignment="1" applyProtection="1">
      <alignment wrapText="1"/>
    </xf>
    <xf numFmtId="165" fontId="26" fillId="18" borderId="81" xfId="45" applyFont="1" applyFill="1" applyBorder="1" applyProtection="1"/>
    <xf numFmtId="165" fontId="26" fillId="18" borderId="81" xfId="0" applyNumberFormat="1" applyFont="1" applyFill="1" applyBorder="1" applyProtection="1"/>
    <xf numFmtId="0" fontId="26" fillId="18" borderId="81" xfId="0" applyFont="1" applyFill="1" applyBorder="1" applyProtection="1"/>
    <xf numFmtId="0" fontId="11" fillId="18" borderId="58" xfId="0" applyFont="1" applyFill="1" applyBorder="1" applyProtection="1"/>
    <xf numFmtId="0" fontId="20" fillId="18" borderId="65" xfId="0" applyFont="1" applyFill="1" applyBorder="1" applyProtection="1"/>
    <xf numFmtId="0" fontId="20" fillId="18" borderId="46" xfId="0" applyFont="1" applyFill="1" applyBorder="1" applyProtection="1"/>
    <xf numFmtId="3" fontId="11" fillId="24" borderId="11" xfId="45" applyNumberFormat="1" applyFont="1" applyFill="1" applyBorder="1" applyAlignment="1" applyProtection="1">
      <alignment horizontal="center" vertical="center"/>
    </xf>
    <xf numFmtId="0" fontId="50" fillId="18" borderId="0" xfId="0" applyFont="1" applyFill="1" applyProtection="1"/>
    <xf numFmtId="0" fontId="20" fillId="18" borderId="44" xfId="0" applyFont="1" applyFill="1" applyBorder="1" applyProtection="1"/>
    <xf numFmtId="0" fontId="20" fillId="18" borderId="0" xfId="0" applyFont="1" applyFill="1" applyBorder="1" applyAlignment="1" applyProtection="1">
      <alignment horizontal="right"/>
    </xf>
    <xf numFmtId="0" fontId="0" fillId="0" borderId="0" xfId="0" applyFont="1" applyFill="1" applyBorder="1" applyAlignment="1">
      <alignment horizontal="right" vertical="center"/>
    </xf>
    <xf numFmtId="0" fontId="21" fillId="20" borderId="0" xfId="0" applyFont="1" applyFill="1" applyBorder="1" applyAlignment="1" applyProtection="1">
      <alignment horizontal="center"/>
      <protection hidden="1"/>
    </xf>
    <xf numFmtId="0" fontId="20" fillId="40" borderId="0" xfId="0" applyFont="1" applyFill="1" applyBorder="1" applyProtection="1"/>
    <xf numFmtId="0" fontId="26" fillId="19" borderId="24" xfId="0" applyFont="1" applyFill="1" applyBorder="1" applyProtection="1">
      <protection locked="0"/>
    </xf>
    <xf numFmtId="43" fontId="66" fillId="18" borderId="0" xfId="0" applyNumberFormat="1" applyFont="1" applyFill="1" applyBorder="1" applyProtection="1">
      <protection hidden="1"/>
    </xf>
    <xf numFmtId="0" fontId="0" fillId="18" borderId="11" xfId="0" applyFill="1" applyBorder="1" applyAlignment="1" applyProtection="1">
      <alignment horizontal="center" vertical="center"/>
      <protection hidden="1"/>
    </xf>
    <xf numFmtId="0" fontId="26" fillId="18" borderId="0" xfId="0" applyFont="1" applyFill="1" applyBorder="1" applyAlignment="1" applyProtection="1">
      <alignment horizontal="center" vertical="center"/>
      <protection hidden="1"/>
    </xf>
    <xf numFmtId="0" fontId="133" fillId="0" borderId="12" xfId="0" applyFont="1" applyBorder="1" applyProtection="1">
      <protection hidden="1"/>
    </xf>
    <xf numFmtId="0" fontId="11" fillId="0" borderId="46" xfId="0" applyFont="1" applyFill="1" applyBorder="1" applyAlignment="1">
      <alignment horizontal="right" vertical="center"/>
    </xf>
    <xf numFmtId="17" fontId="0" fillId="39" borderId="86" xfId="0" applyNumberFormat="1" applyFill="1" applyBorder="1" applyAlignment="1" applyProtection="1">
      <alignment horizontal="center" vertical="center"/>
      <protection hidden="1"/>
    </xf>
    <xf numFmtId="0" fontId="0" fillId="39" borderId="27" xfId="0" applyFill="1" applyBorder="1" applyAlignment="1" applyProtection="1">
      <alignment horizontal="center" vertical="center"/>
      <protection hidden="1"/>
    </xf>
    <xf numFmtId="0" fontId="0" fillId="39" borderId="87" xfId="0" applyFill="1" applyBorder="1" applyAlignment="1" applyProtection="1">
      <alignment horizontal="center" vertical="center"/>
      <protection hidden="1"/>
    </xf>
    <xf numFmtId="0" fontId="0" fillId="39" borderId="86" xfId="0" applyFill="1" applyBorder="1" applyAlignment="1" applyProtection="1">
      <alignment horizontal="center" vertical="center"/>
      <protection hidden="1"/>
    </xf>
    <xf numFmtId="0" fontId="0" fillId="39" borderId="88" xfId="0" applyFill="1" applyBorder="1" applyAlignment="1" applyProtection="1">
      <alignment horizontal="center" vertical="center"/>
      <protection hidden="1"/>
    </xf>
    <xf numFmtId="0" fontId="0" fillId="39" borderId="89" xfId="0" applyFill="1" applyBorder="1" applyAlignment="1" applyProtection="1">
      <alignment horizontal="center" vertical="center"/>
      <protection hidden="1"/>
    </xf>
    <xf numFmtId="3" fontId="0" fillId="0" borderId="27" xfId="0" applyNumberFormat="1" applyBorder="1"/>
    <xf numFmtId="0" fontId="0" fillId="0" borderId="64" xfId="0" applyBorder="1" applyAlignment="1">
      <alignment horizontal="center" vertical="center"/>
    </xf>
    <xf numFmtId="0" fontId="0" fillId="24" borderId="57" xfId="0" applyFill="1" applyBorder="1" applyProtection="1"/>
    <xf numFmtId="3" fontId="26" fillId="24" borderId="48" xfId="0" applyNumberFormat="1" applyFont="1" applyFill="1" applyBorder="1" applyAlignment="1" applyProtection="1">
      <alignment horizontal="center" vertical="center"/>
    </xf>
    <xf numFmtId="0" fontId="11" fillId="24" borderId="39" xfId="0" applyFont="1" applyFill="1" applyBorder="1" applyAlignment="1" applyProtection="1">
      <alignment horizontal="right" vertical="center"/>
    </xf>
    <xf numFmtId="0" fontId="11" fillId="24" borderId="57" xfId="0" applyFont="1" applyFill="1" applyBorder="1" applyAlignment="1" applyProtection="1">
      <alignment vertical="center"/>
    </xf>
    <xf numFmtId="0" fontId="11" fillId="24" borderId="57" xfId="0" applyFont="1" applyFill="1" applyBorder="1" applyAlignment="1" applyProtection="1">
      <alignment horizontal="right" vertical="center"/>
    </xf>
    <xf numFmtId="0" fontId="0" fillId="24" borderId="57" xfId="0" applyFill="1" applyBorder="1" applyAlignment="1" applyProtection="1">
      <alignment vertical="center"/>
    </xf>
    <xf numFmtId="0" fontId="0" fillId="24" borderId="57" xfId="0" applyFill="1" applyBorder="1" applyAlignment="1" applyProtection="1">
      <alignment horizontal="right" vertical="center"/>
    </xf>
    <xf numFmtId="0" fontId="20" fillId="0" borderId="0" xfId="0" applyFont="1" applyBorder="1" applyAlignment="1" applyProtection="1">
      <alignment vertical="center"/>
    </xf>
    <xf numFmtId="0" fontId="20" fillId="0" borderId="0" xfId="0" applyFont="1" applyFill="1" applyBorder="1" applyAlignment="1" applyProtection="1">
      <alignment vertical="center"/>
    </xf>
    <xf numFmtId="0" fontId="20" fillId="0" borderId="45" xfId="0" applyFont="1" applyBorder="1" applyProtection="1"/>
    <xf numFmtId="0" fontId="20" fillId="0" borderId="44" xfId="0" applyFont="1" applyBorder="1" applyProtection="1"/>
    <xf numFmtId="0" fontId="20" fillId="0" borderId="44" xfId="0" applyFont="1" applyBorder="1" applyAlignment="1" applyProtection="1">
      <alignment horizontal="center" vertical="center"/>
    </xf>
    <xf numFmtId="0" fontId="20" fillId="0" borderId="50" xfId="0" applyFont="1" applyBorder="1" applyAlignment="1" applyProtection="1">
      <alignment horizontal="center" vertical="center"/>
    </xf>
    <xf numFmtId="0" fontId="20" fillId="0" borderId="0" xfId="0" applyFont="1" applyBorder="1" applyAlignment="1" applyProtection="1">
      <alignment horizontal="right"/>
    </xf>
    <xf numFmtId="0" fontId="20" fillId="0" borderId="12"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51" xfId="0" applyFont="1" applyBorder="1" applyAlignment="1" applyProtection="1">
      <alignment horizontal="center" vertical="center"/>
    </xf>
    <xf numFmtId="0" fontId="24" fillId="22" borderId="16" xfId="0" applyFont="1" applyFill="1" applyBorder="1" applyAlignment="1" applyProtection="1">
      <alignment horizontal="center" vertical="center"/>
    </xf>
    <xf numFmtId="0" fontId="24" fillId="22" borderId="68" xfId="0" applyFont="1" applyFill="1" applyBorder="1" applyAlignment="1" applyProtection="1">
      <alignment horizontal="center" vertical="center"/>
    </xf>
    <xf numFmtId="0" fontId="20" fillId="22" borderId="15" xfId="0" applyFont="1" applyFill="1" applyBorder="1" applyAlignment="1" applyProtection="1">
      <alignment horizontal="center" vertical="center"/>
    </xf>
    <xf numFmtId="0" fontId="20" fillId="22" borderId="37" xfId="0" applyFont="1" applyFill="1" applyBorder="1" applyAlignment="1" applyProtection="1">
      <alignment horizontal="center" vertical="center"/>
    </xf>
    <xf numFmtId="0" fontId="20" fillId="22" borderId="19" xfId="0" applyFont="1" applyFill="1" applyBorder="1" applyAlignment="1" applyProtection="1">
      <alignment horizontal="center" vertical="center"/>
    </xf>
    <xf numFmtId="0" fontId="20" fillId="22" borderId="27" xfId="0" applyFont="1" applyFill="1" applyBorder="1" applyAlignment="1" applyProtection="1">
      <alignment horizontal="center" vertical="center"/>
    </xf>
    <xf numFmtId="0" fontId="20" fillId="22" borderId="13" xfId="0" applyFont="1" applyFill="1" applyBorder="1" applyAlignment="1" applyProtection="1">
      <alignment horizontal="center" vertical="center"/>
    </xf>
    <xf numFmtId="0" fontId="20" fillId="22" borderId="30" xfId="0" applyFont="1" applyFill="1" applyBorder="1" applyAlignment="1" applyProtection="1">
      <alignment horizontal="center" vertical="center"/>
    </xf>
    <xf numFmtId="0" fontId="20" fillId="21" borderId="19" xfId="0" applyFont="1" applyFill="1" applyBorder="1" applyAlignment="1" applyProtection="1">
      <alignment horizontal="center" vertical="center"/>
    </xf>
    <xf numFmtId="0" fontId="20" fillId="21" borderId="27" xfId="0" applyFont="1" applyFill="1" applyBorder="1" applyAlignment="1" applyProtection="1">
      <alignment horizontal="center" vertical="center"/>
    </xf>
    <xf numFmtId="0" fontId="20" fillId="21" borderId="13" xfId="0" applyFont="1" applyFill="1" applyBorder="1" applyAlignment="1" applyProtection="1">
      <alignment horizontal="center" vertical="center"/>
    </xf>
    <xf numFmtId="0" fontId="20" fillId="21" borderId="30" xfId="0" applyFont="1" applyFill="1" applyBorder="1" applyAlignment="1" applyProtection="1">
      <alignment horizontal="center" vertical="center"/>
    </xf>
    <xf numFmtId="0" fontId="20" fillId="21" borderId="0" xfId="0" applyFont="1" applyFill="1" applyBorder="1" applyAlignment="1" applyProtection="1">
      <alignment horizontal="center" vertical="center"/>
    </xf>
    <xf numFmtId="0" fontId="20" fillId="21" borderId="22" xfId="0" applyFont="1" applyFill="1" applyBorder="1" applyAlignment="1" applyProtection="1">
      <alignment horizontal="center" vertical="center"/>
    </xf>
    <xf numFmtId="0" fontId="20" fillId="21" borderId="59" xfId="0" applyFont="1" applyFill="1" applyBorder="1" applyAlignment="1" applyProtection="1">
      <alignment horizontal="center" vertical="center"/>
    </xf>
    <xf numFmtId="0" fontId="20" fillId="21" borderId="23" xfId="0" applyFont="1" applyFill="1" applyBorder="1" applyAlignment="1" applyProtection="1">
      <alignment horizontal="center" vertical="center"/>
    </xf>
    <xf numFmtId="0" fontId="21" fillId="21" borderId="16" xfId="0" applyFont="1" applyFill="1" applyBorder="1" applyAlignment="1" applyProtection="1">
      <alignment horizontal="center" vertical="center"/>
    </xf>
    <xf numFmtId="0" fontId="21" fillId="21" borderId="68" xfId="0" applyFont="1" applyFill="1" applyBorder="1" applyAlignment="1" applyProtection="1">
      <alignment horizontal="center" vertical="center"/>
    </xf>
    <xf numFmtId="0" fontId="21" fillId="21" borderId="15" xfId="0" applyFont="1" applyFill="1" applyBorder="1" applyAlignment="1" applyProtection="1">
      <alignment horizontal="center" vertical="center"/>
    </xf>
    <xf numFmtId="0" fontId="21" fillId="21" borderId="37" xfId="0" applyFont="1" applyFill="1" applyBorder="1" applyAlignment="1" applyProtection="1">
      <alignment horizontal="center" vertical="center"/>
    </xf>
    <xf numFmtId="0" fontId="21" fillId="21" borderId="13" xfId="0" applyFont="1" applyFill="1" applyBorder="1" applyAlignment="1" applyProtection="1">
      <alignment horizontal="center" vertical="center"/>
    </xf>
    <xf numFmtId="2" fontId="20" fillId="21" borderId="13" xfId="0" applyNumberFormat="1" applyFont="1" applyFill="1" applyBorder="1" applyAlignment="1" applyProtection="1">
      <alignment horizontal="center" vertical="center"/>
    </xf>
    <xf numFmtId="2" fontId="20" fillId="21" borderId="30" xfId="0" applyNumberFormat="1" applyFont="1" applyFill="1" applyBorder="1" applyAlignment="1" applyProtection="1">
      <alignment horizontal="center" vertical="center"/>
    </xf>
    <xf numFmtId="0" fontId="20" fillId="21" borderId="18" xfId="0" applyFont="1" applyFill="1" applyBorder="1" applyAlignment="1" applyProtection="1">
      <alignment horizontal="center" vertical="center"/>
    </xf>
    <xf numFmtId="0" fontId="20" fillId="21" borderId="56" xfId="0" applyFont="1" applyFill="1" applyBorder="1" applyAlignment="1" applyProtection="1">
      <alignment horizontal="center" vertical="center"/>
    </xf>
    <xf numFmtId="2" fontId="20" fillId="21" borderId="14" xfId="0" applyNumberFormat="1" applyFont="1" applyFill="1" applyBorder="1" applyAlignment="1" applyProtection="1">
      <alignment horizontal="center" vertical="center"/>
    </xf>
    <xf numFmtId="0" fontId="20" fillId="21" borderId="38" xfId="0" applyFont="1" applyFill="1" applyBorder="1" applyAlignment="1" applyProtection="1">
      <alignment horizontal="center" vertical="center"/>
    </xf>
    <xf numFmtId="0" fontId="24" fillId="22" borderId="82" xfId="0" applyFont="1" applyFill="1" applyBorder="1" applyAlignment="1" applyProtection="1">
      <alignment horizontal="center" vertical="center"/>
    </xf>
    <xf numFmtId="2" fontId="20" fillId="18" borderId="0" xfId="0" applyNumberFormat="1" applyFont="1" applyFill="1" applyBorder="1" applyAlignment="1" applyProtection="1">
      <alignment horizontal="center" vertical="center"/>
    </xf>
    <xf numFmtId="0" fontId="20" fillId="21" borderId="62" xfId="0" applyFont="1" applyFill="1" applyBorder="1" applyAlignment="1" applyProtection="1">
      <alignment horizontal="center" vertical="center"/>
    </xf>
    <xf numFmtId="0" fontId="20" fillId="21" borderId="84" xfId="0" applyFont="1" applyFill="1" applyBorder="1" applyAlignment="1" applyProtection="1">
      <alignment horizontal="center" vertical="center"/>
    </xf>
    <xf numFmtId="0" fontId="20" fillId="21" borderId="34" xfId="0" applyFont="1" applyFill="1" applyBorder="1" applyAlignment="1" applyProtection="1">
      <alignment horizontal="center" vertical="center"/>
    </xf>
    <xf numFmtId="0" fontId="51" fillId="18" borderId="12" xfId="0" applyFont="1" applyFill="1" applyBorder="1" applyAlignment="1" applyProtection="1">
      <alignment horizontal="center" vertical="center"/>
    </xf>
    <xf numFmtId="0" fontId="22" fillId="18" borderId="59" xfId="0" applyFont="1" applyFill="1" applyBorder="1" applyAlignment="1" applyProtection="1">
      <alignment horizontal="center" vertical="center"/>
    </xf>
    <xf numFmtId="0" fontId="22" fillId="18" borderId="23" xfId="0" applyFont="1" applyFill="1" applyBorder="1" applyAlignment="1" applyProtection="1">
      <alignment horizontal="center" vertical="center"/>
    </xf>
    <xf numFmtId="0" fontId="63" fillId="18" borderId="12" xfId="0" applyFont="1" applyFill="1" applyBorder="1" applyAlignment="1" applyProtection="1">
      <alignment horizontal="center" vertical="center"/>
    </xf>
    <xf numFmtId="0" fontId="22" fillId="21" borderId="13" xfId="0" applyFont="1" applyFill="1" applyBorder="1" applyAlignment="1" applyProtection="1">
      <alignment horizontal="center" vertical="center"/>
    </xf>
    <xf numFmtId="0" fontId="22" fillId="21" borderId="30" xfId="0" applyFont="1" applyFill="1" applyBorder="1" applyAlignment="1" applyProtection="1">
      <alignment horizontal="center" vertical="center"/>
    </xf>
    <xf numFmtId="0" fontId="21" fillId="21" borderId="27" xfId="0" applyFont="1" applyFill="1" applyBorder="1" applyAlignment="1" applyProtection="1">
      <alignment horizontal="center" vertical="center"/>
    </xf>
    <xf numFmtId="0" fontId="21" fillId="21" borderId="30" xfId="0" applyFont="1" applyFill="1" applyBorder="1" applyAlignment="1" applyProtection="1">
      <alignment horizontal="center" vertical="center"/>
    </xf>
    <xf numFmtId="0" fontId="21" fillId="21" borderId="56" xfId="0" applyFont="1" applyFill="1" applyBorder="1" applyAlignment="1" applyProtection="1">
      <alignment horizontal="center" vertical="center"/>
    </xf>
    <xf numFmtId="0" fontId="21" fillId="21" borderId="14" xfId="0" applyFont="1" applyFill="1" applyBorder="1" applyAlignment="1" applyProtection="1">
      <alignment horizontal="center" vertical="center"/>
    </xf>
    <xf numFmtId="0" fontId="21" fillId="21" borderId="38" xfId="0" applyFont="1" applyFill="1" applyBorder="1" applyAlignment="1" applyProtection="1">
      <alignment horizontal="center" vertical="center"/>
    </xf>
    <xf numFmtId="0" fontId="51" fillId="18" borderId="51" xfId="0" applyFont="1" applyFill="1" applyBorder="1" applyAlignment="1" applyProtection="1">
      <alignment horizontal="center" vertical="center"/>
    </xf>
    <xf numFmtId="0" fontId="60" fillId="18" borderId="0" xfId="0" applyFont="1" applyFill="1" applyAlignment="1" applyProtection="1">
      <alignment horizontal="center" vertical="center"/>
    </xf>
    <xf numFmtId="0" fontId="73" fillId="18" borderId="0" xfId="0" applyFont="1" applyFill="1" applyBorder="1" applyAlignment="1" applyProtection="1">
      <alignment horizontal="center" vertical="center"/>
    </xf>
    <xf numFmtId="0" fontId="20" fillId="24" borderId="13" xfId="0" applyFont="1" applyFill="1" applyBorder="1" applyAlignment="1" applyProtection="1">
      <alignment horizontal="center" vertical="center"/>
    </xf>
    <xf numFmtId="0" fontId="51" fillId="18" borderId="0" xfId="0" applyFont="1" applyFill="1" applyBorder="1" applyAlignment="1" applyProtection="1">
      <alignment horizontal="center" vertical="center"/>
    </xf>
    <xf numFmtId="0" fontId="20" fillId="0" borderId="0" xfId="0" applyFont="1" applyBorder="1" applyAlignment="1" applyProtection="1">
      <alignment horizontal="center"/>
    </xf>
    <xf numFmtId="0" fontId="11" fillId="0" borderId="0" xfId="0" applyFont="1" applyAlignment="1" applyProtection="1">
      <alignment horizontal="right" vertical="center"/>
    </xf>
    <xf numFmtId="9" fontId="20" fillId="18" borderId="0" xfId="35" applyFont="1" applyFill="1" applyBorder="1" applyAlignment="1" applyProtection="1">
      <alignment horizontal="center" vertical="center"/>
    </xf>
    <xf numFmtId="178" fontId="20" fillId="18" borderId="0" xfId="0" applyNumberFormat="1" applyFont="1" applyFill="1" applyBorder="1" applyAlignment="1" applyProtection="1">
      <alignment horizontal="center" vertical="center"/>
    </xf>
    <xf numFmtId="173" fontId="20" fillId="18" borderId="0" xfId="35" applyNumberFormat="1" applyFont="1" applyFill="1" applyBorder="1" applyAlignment="1" applyProtection="1">
      <alignment horizontal="center" vertical="center"/>
    </xf>
    <xf numFmtId="3" fontId="21" fillId="21" borderId="24" xfId="0" applyNumberFormat="1" applyFont="1" applyFill="1" applyBorder="1" applyAlignment="1" applyProtection="1">
      <alignment horizontal="center" vertical="center"/>
    </xf>
    <xf numFmtId="169" fontId="20" fillId="19" borderId="13" xfId="45" applyNumberFormat="1" applyFont="1" applyFill="1" applyBorder="1" applyProtection="1"/>
    <xf numFmtId="165" fontId="20" fillId="19" borderId="13" xfId="45" applyFont="1" applyFill="1" applyBorder="1" applyProtection="1"/>
    <xf numFmtId="0" fontId="20" fillId="19" borderId="13" xfId="0" applyFont="1" applyFill="1" applyBorder="1" applyProtection="1"/>
    <xf numFmtId="0" fontId="20" fillId="19" borderId="40" xfId="0" applyFont="1" applyFill="1" applyBorder="1" applyProtection="1"/>
    <xf numFmtId="169" fontId="20" fillId="19" borderId="23" xfId="45" applyNumberFormat="1" applyFont="1" applyFill="1" applyBorder="1" applyProtection="1"/>
    <xf numFmtId="0" fontId="20" fillId="19" borderId="23" xfId="0" applyFont="1" applyFill="1" applyBorder="1" applyProtection="1"/>
    <xf numFmtId="0" fontId="20" fillId="19" borderId="58" xfId="0" applyFont="1" applyFill="1" applyBorder="1" applyProtection="1"/>
    <xf numFmtId="0" fontId="20" fillId="19" borderId="11" xfId="0" applyFont="1" applyFill="1" applyBorder="1" applyProtection="1"/>
    <xf numFmtId="0" fontId="20" fillId="19" borderId="27" xfId="0" applyFont="1" applyFill="1" applyBorder="1" applyProtection="1"/>
    <xf numFmtId="0" fontId="133" fillId="0" borderId="0" xfId="0" applyFont="1" applyBorder="1" applyProtection="1">
      <protection hidden="1"/>
    </xf>
    <xf numFmtId="0" fontId="0" fillId="39" borderId="93" xfId="0" applyFill="1" applyBorder="1" applyAlignment="1" applyProtection="1">
      <alignment horizontal="center" vertical="center"/>
      <protection hidden="1"/>
    </xf>
    <xf numFmtId="0" fontId="0" fillId="39" borderId="40" xfId="0" applyFill="1" applyBorder="1" applyAlignment="1" applyProtection="1">
      <alignment horizontal="center" vertical="center"/>
      <protection hidden="1"/>
    </xf>
    <xf numFmtId="0" fontId="0" fillId="39" borderId="94" xfId="0" applyFill="1" applyBorder="1" applyAlignment="1" applyProtection="1">
      <alignment horizontal="center" vertical="center"/>
      <protection hidden="1"/>
    </xf>
    <xf numFmtId="0" fontId="11" fillId="18" borderId="44" xfId="0" applyFont="1" applyFill="1" applyBorder="1" applyAlignment="1" applyProtection="1">
      <alignment horizontal="center"/>
      <protection hidden="1"/>
    </xf>
    <xf numFmtId="3" fontId="11" fillId="0" borderId="0" xfId="0" applyNumberFormat="1" applyFont="1" applyBorder="1"/>
    <xf numFmtId="17" fontId="11" fillId="0" borderId="0" xfId="0" applyNumberFormat="1" applyFont="1" applyBorder="1" applyAlignment="1">
      <alignment horizontal="center" vertical="center"/>
    </xf>
    <xf numFmtId="3" fontId="11" fillId="0" borderId="0" xfId="0" applyNumberFormat="1" applyFont="1" applyBorder="1" applyAlignment="1">
      <alignment horizontal="center" vertical="center"/>
    </xf>
    <xf numFmtId="0" fontId="26" fillId="0" borderId="13" xfId="0" applyFont="1" applyBorder="1" applyAlignment="1">
      <alignment vertical="center"/>
    </xf>
    <xf numFmtId="0" fontId="11" fillId="0" borderId="13" xfId="0" applyFont="1" applyBorder="1" applyAlignment="1">
      <alignment vertical="center"/>
    </xf>
    <xf numFmtId="2" fontId="0" fillId="0" borderId="13" xfId="0" applyNumberFormat="1" applyBorder="1" applyAlignment="1">
      <alignment vertical="center"/>
    </xf>
    <xf numFmtId="4" fontId="0" fillId="0" borderId="13" xfId="0" applyNumberFormat="1" applyBorder="1" applyAlignment="1">
      <alignment vertical="center"/>
    </xf>
    <xf numFmtId="0" fontId="11" fillId="0" borderId="0" xfId="0" applyFont="1" applyBorder="1" applyAlignment="1">
      <alignment vertical="center" wrapText="1"/>
    </xf>
    <xf numFmtId="3" fontId="11" fillId="0" borderId="0" xfId="0" applyNumberFormat="1" applyFont="1" applyBorder="1" applyAlignment="1">
      <alignment vertical="center"/>
    </xf>
    <xf numFmtId="172" fontId="11" fillId="0" borderId="0" xfId="0" applyNumberFormat="1" applyFont="1" applyBorder="1" applyAlignment="1">
      <alignment vertical="center"/>
    </xf>
    <xf numFmtId="178" fontId="0" fillId="0" borderId="48" xfId="0" applyNumberFormat="1" applyBorder="1" applyAlignment="1">
      <alignment horizontal="center" vertical="center"/>
    </xf>
    <xf numFmtId="0" fontId="11" fillId="24" borderId="39" xfId="0" applyFont="1" applyFill="1" applyBorder="1" applyAlignment="1" applyProtection="1">
      <alignment horizontal="left" vertical="center"/>
    </xf>
    <xf numFmtId="0" fontId="20" fillId="19" borderId="11" xfId="0" applyFont="1" applyFill="1" applyBorder="1" applyAlignment="1" applyProtection="1">
      <alignment horizontal="center"/>
    </xf>
    <xf numFmtId="0" fontId="20" fillId="19" borderId="19" xfId="0" applyFont="1" applyFill="1" applyBorder="1" applyProtection="1"/>
    <xf numFmtId="0" fontId="20" fillId="19" borderId="13" xfId="0" applyFont="1" applyFill="1" applyBorder="1" applyAlignment="1" applyProtection="1">
      <alignment horizontal="center"/>
    </xf>
    <xf numFmtId="0" fontId="20" fillId="19" borderId="21" xfId="0" applyFont="1" applyFill="1" applyBorder="1" applyProtection="1"/>
    <xf numFmtId="0" fontId="20" fillId="19" borderId="42" xfId="0" applyFont="1" applyFill="1" applyBorder="1" applyProtection="1"/>
    <xf numFmtId="0" fontId="0" fillId="0" borderId="59" xfId="0" applyBorder="1"/>
    <xf numFmtId="0" fontId="0" fillId="0" borderId="0" xfId="0" applyBorder="1" applyAlignment="1">
      <alignment horizontal="right"/>
    </xf>
    <xf numFmtId="0" fontId="11" fillId="0" borderId="0" xfId="0" applyFont="1" applyBorder="1" applyAlignment="1">
      <alignment horizontal="right"/>
    </xf>
    <xf numFmtId="167" fontId="0" fillId="0" borderId="0" xfId="0" applyNumberFormat="1" applyBorder="1" applyAlignment="1">
      <alignment horizontal="center"/>
    </xf>
    <xf numFmtId="0" fontId="0" fillId="0" borderId="13" xfId="0" applyBorder="1" applyAlignment="1">
      <alignment horizontal="center" vertical="center"/>
    </xf>
    <xf numFmtId="0" fontId="64" fillId="0" borderId="0" xfId="0" applyFont="1" applyBorder="1" applyAlignment="1">
      <alignment horizontal="right" vertical="center"/>
    </xf>
    <xf numFmtId="0" fontId="64" fillId="0" borderId="0" xfId="0" applyFont="1" applyBorder="1" applyAlignment="1">
      <alignment horizontal="left" vertical="center"/>
    </xf>
    <xf numFmtId="0" fontId="64" fillId="0" borderId="0" xfId="0" applyFont="1" applyBorder="1" applyAlignment="1">
      <alignment vertical="center"/>
    </xf>
    <xf numFmtId="0" fontId="64" fillId="18" borderId="0" xfId="0" applyFont="1" applyFill="1" applyProtection="1"/>
    <xf numFmtId="0" fontId="20" fillId="0" borderId="13" xfId="0" applyFont="1" applyFill="1" applyBorder="1" applyAlignment="1" applyProtection="1">
      <alignment horizontal="center" vertical="center"/>
    </xf>
    <xf numFmtId="0" fontId="20" fillId="0" borderId="13" xfId="0" applyFont="1" applyFill="1" applyBorder="1" applyAlignment="1" applyProtection="1">
      <alignment horizontal="right" vertical="center"/>
    </xf>
    <xf numFmtId="0" fontId="20" fillId="0" borderId="13" xfId="0" applyFont="1" applyFill="1" applyBorder="1" applyAlignment="1" applyProtection="1">
      <alignment horizontal="right"/>
    </xf>
    <xf numFmtId="0" fontId="20" fillId="0" borderId="13" xfId="0" applyFont="1" applyFill="1" applyBorder="1" applyAlignment="1" applyProtection="1">
      <alignment horizontal="center"/>
    </xf>
    <xf numFmtId="0" fontId="20" fillId="0" borderId="13" xfId="0" applyFont="1" applyBorder="1" applyAlignment="1" applyProtection="1">
      <alignment horizontal="center"/>
    </xf>
    <xf numFmtId="0" fontId="133" fillId="18" borderId="0" xfId="0" applyFont="1" applyFill="1" applyBorder="1" applyAlignment="1" applyProtection="1">
      <alignment horizontal="center" vertical="center"/>
      <protection hidden="1"/>
    </xf>
    <xf numFmtId="0" fontId="133" fillId="0" borderId="0" xfId="0" applyFont="1" applyBorder="1" applyAlignment="1" applyProtection="1">
      <alignment horizontal="center" vertical="center"/>
      <protection hidden="1"/>
    </xf>
    <xf numFmtId="0" fontId="21" fillId="20" borderId="44" xfId="0" applyFont="1" applyFill="1" applyBorder="1" applyAlignment="1" applyProtection="1">
      <alignment horizontal="center"/>
      <protection hidden="1"/>
    </xf>
    <xf numFmtId="0" fontId="66" fillId="18" borderId="50" xfId="0" applyFont="1" applyFill="1" applyBorder="1" applyProtection="1">
      <protection hidden="1"/>
    </xf>
    <xf numFmtId="0" fontId="66" fillId="18" borderId="12" xfId="0" applyFont="1" applyFill="1" applyBorder="1" applyProtection="1">
      <protection hidden="1"/>
    </xf>
    <xf numFmtId="0" fontId="21" fillId="20" borderId="17" xfId="0" applyFont="1" applyFill="1" applyBorder="1" applyAlignment="1" applyProtection="1">
      <alignment horizontal="center"/>
      <protection hidden="1"/>
    </xf>
    <xf numFmtId="0" fontId="66" fillId="18" borderId="51" xfId="0" applyFont="1" applyFill="1" applyBorder="1" applyProtection="1">
      <protection hidden="1"/>
    </xf>
    <xf numFmtId="0" fontId="20" fillId="40" borderId="0" xfId="0" applyFont="1" applyFill="1" applyBorder="1" applyProtection="1">
      <protection locked="0"/>
    </xf>
    <xf numFmtId="3" fontId="11" fillId="37" borderId="95" xfId="0" applyNumberFormat="1" applyFont="1" applyFill="1" applyBorder="1" applyAlignment="1" applyProtection="1">
      <alignment horizontal="center" vertical="center"/>
      <protection locked="0" hidden="1"/>
    </xf>
    <xf numFmtId="3" fontId="11" fillId="37" borderId="73" xfId="0" applyNumberFormat="1" applyFont="1" applyFill="1" applyBorder="1" applyAlignment="1" applyProtection="1">
      <alignment horizontal="center" vertical="center"/>
      <protection locked="0" hidden="1"/>
    </xf>
    <xf numFmtId="3" fontId="11" fillId="37" borderId="96" xfId="0" applyNumberFormat="1" applyFont="1" applyFill="1" applyBorder="1" applyAlignment="1" applyProtection="1">
      <alignment horizontal="center" vertical="center"/>
      <protection locked="0" hidden="1"/>
    </xf>
    <xf numFmtId="0" fontId="11" fillId="0" borderId="0" xfId="0" applyFont="1"/>
    <xf numFmtId="0" fontId="135" fillId="0" borderId="0" xfId="0" applyFont="1" applyAlignment="1">
      <alignment horizontal="center" vertical="center" wrapText="1"/>
    </xf>
    <xf numFmtId="0" fontId="135" fillId="0" borderId="0" xfId="0" applyFont="1" applyAlignment="1">
      <alignment horizontal="center" vertical="center"/>
    </xf>
    <xf numFmtId="3" fontId="135" fillId="0" borderId="0" xfId="0" applyNumberFormat="1" applyFont="1" applyAlignment="1">
      <alignment horizontal="center" vertical="center"/>
    </xf>
    <xf numFmtId="2" fontId="135" fillId="0" borderId="0" xfId="0" applyNumberFormat="1" applyFont="1" applyAlignment="1">
      <alignment horizontal="center" vertical="center"/>
    </xf>
    <xf numFmtId="4" fontId="135" fillId="0" borderId="0" xfId="0" applyNumberFormat="1" applyFont="1" applyAlignment="1">
      <alignment horizontal="center" vertical="center"/>
    </xf>
    <xf numFmtId="1" fontId="135" fillId="0" borderId="0" xfId="0" applyNumberFormat="1" applyFont="1" applyAlignment="1">
      <alignment horizontal="center" vertical="center"/>
    </xf>
    <xf numFmtId="0" fontId="11" fillId="0" borderId="40" xfId="0" applyFont="1" applyBorder="1"/>
    <xf numFmtId="0" fontId="0" fillId="0" borderId="27" xfId="0" applyBorder="1"/>
    <xf numFmtId="0" fontId="0" fillId="0" borderId="106" xfId="0" applyBorder="1" applyAlignment="1">
      <alignment horizontal="center" vertical="center"/>
    </xf>
    <xf numFmtId="0" fontId="11" fillId="0" borderId="107" xfId="0" applyFont="1" applyBorder="1" applyAlignment="1">
      <alignment horizontal="right" vertical="center"/>
    </xf>
    <xf numFmtId="0" fontId="0" fillId="0" borderId="106" xfId="0" applyBorder="1" applyAlignment="1">
      <alignment horizontal="left" vertical="center"/>
    </xf>
    <xf numFmtId="0" fontId="0" fillId="0" borderId="106" xfId="0" applyBorder="1" applyAlignment="1">
      <alignment vertical="center"/>
    </xf>
    <xf numFmtId="0" fontId="26" fillId="0" borderId="13" xfId="0" applyFont="1" applyBorder="1"/>
    <xf numFmtId="0" fontId="139" fillId="0" borderId="0" xfId="0" applyFont="1" applyFill="1" applyAlignment="1" applyProtection="1">
      <alignment horizontal="right" vertical="center"/>
    </xf>
    <xf numFmtId="172" fontId="139" fillId="18" borderId="0" xfId="0" applyNumberFormat="1" applyFont="1" applyFill="1" applyBorder="1" applyProtection="1"/>
    <xf numFmtId="0" fontId="11" fillId="0" borderId="62" xfId="0" applyFont="1" applyFill="1" applyBorder="1" applyAlignment="1">
      <alignment vertical="center" wrapText="1"/>
    </xf>
    <xf numFmtId="3" fontId="0" fillId="0" borderId="62" xfId="0" applyNumberFormat="1" applyFill="1" applyBorder="1" applyAlignment="1">
      <alignment vertical="center"/>
    </xf>
    <xf numFmtId="0" fontId="20" fillId="18" borderId="0" xfId="0" applyFont="1" applyFill="1" applyBorder="1" applyAlignment="1" applyProtection="1">
      <alignment vertical="center"/>
    </xf>
    <xf numFmtId="172" fontId="50" fillId="0" borderId="0" xfId="0" applyNumberFormat="1" applyFont="1" applyBorder="1" applyAlignment="1">
      <alignment horizontal="right" vertical="center"/>
    </xf>
    <xf numFmtId="3" fontId="0" fillId="0" borderId="0" xfId="0" applyNumberFormat="1" applyBorder="1" applyAlignment="1">
      <alignment horizontal="center" vertical="center"/>
    </xf>
    <xf numFmtId="0" fontId="26" fillId="0" borderId="0" xfId="0" applyFont="1" applyFill="1" applyBorder="1" applyAlignment="1">
      <alignment horizontal="center" vertical="center"/>
    </xf>
    <xf numFmtId="0" fontId="2" fillId="24" borderId="39" xfId="0" applyFont="1" applyFill="1" applyBorder="1" applyAlignment="1" applyProtection="1">
      <alignment horizontal="center" vertical="center"/>
    </xf>
    <xf numFmtId="0" fontId="134" fillId="18" borderId="0" xfId="0" applyFont="1" applyFill="1" applyBorder="1" applyAlignment="1" applyProtection="1">
      <alignment horizontal="center" vertical="center"/>
    </xf>
    <xf numFmtId="0" fontId="20" fillId="18" borderId="60" xfId="0" applyFont="1" applyFill="1" applyBorder="1" applyAlignment="1" applyProtection="1">
      <alignment horizontal="center" vertical="center"/>
    </xf>
    <xf numFmtId="0" fontId="26" fillId="30" borderId="12" xfId="0" applyFont="1" applyFill="1" applyBorder="1" applyAlignment="1" applyProtection="1">
      <alignment horizontal="center"/>
    </xf>
    <xf numFmtId="0" fontId="0" fillId="39" borderId="59" xfId="0" applyFill="1" applyBorder="1" applyAlignment="1" applyProtection="1">
      <alignment horizontal="center" vertical="center"/>
      <protection hidden="1"/>
    </xf>
    <xf numFmtId="0" fontId="0" fillId="39" borderId="43" xfId="0" applyFill="1" applyBorder="1" applyAlignment="1" applyProtection="1">
      <alignment horizontal="center" vertical="center"/>
      <protection hidden="1"/>
    </xf>
    <xf numFmtId="3" fontId="11" fillId="37" borderId="79" xfId="0" applyNumberFormat="1" applyFont="1" applyFill="1" applyBorder="1" applyAlignment="1" applyProtection="1">
      <alignment horizontal="center" vertical="center"/>
      <protection locked="0" hidden="1"/>
    </xf>
    <xf numFmtId="0" fontId="24" fillId="22" borderId="58" xfId="0" applyFont="1" applyFill="1" applyBorder="1" applyAlignment="1" applyProtection="1">
      <alignment horizontal="center" vertical="center"/>
    </xf>
    <xf numFmtId="0" fontId="24" fillId="22" borderId="81" xfId="0" applyFont="1" applyFill="1" applyBorder="1" applyAlignment="1" applyProtection="1">
      <alignment horizontal="center" vertical="center"/>
    </xf>
    <xf numFmtId="0" fontId="20" fillId="22" borderId="26" xfId="0" applyFont="1" applyFill="1" applyBorder="1" applyAlignment="1" applyProtection="1">
      <alignment horizontal="center" vertical="center"/>
    </xf>
    <xf numFmtId="179" fontId="64" fillId="0" borderId="0" xfId="0" applyNumberFormat="1" applyFont="1" applyBorder="1" applyAlignment="1">
      <alignment horizontal="right" vertical="center"/>
    </xf>
    <xf numFmtId="0" fontId="21" fillId="0" borderId="0" xfId="0" applyFont="1" applyBorder="1" applyProtection="1"/>
    <xf numFmtId="3" fontId="21" fillId="0" borderId="0" xfId="0" applyNumberFormat="1" applyFont="1" applyBorder="1" applyProtection="1"/>
    <xf numFmtId="172" fontId="1" fillId="0" borderId="13" xfId="0" applyNumberFormat="1" applyFont="1" applyFill="1" applyBorder="1" applyAlignment="1">
      <alignment horizontal="center" vertical="center"/>
    </xf>
    <xf numFmtId="3" fontId="1" fillId="0" borderId="13" xfId="0" applyNumberFormat="1" applyFont="1" applyFill="1" applyBorder="1"/>
    <xf numFmtId="3" fontId="144" fillId="0" borderId="13" xfId="0" applyNumberFormat="1" applyFont="1" applyBorder="1"/>
    <xf numFmtId="1" fontId="144" fillId="0" borderId="13" xfId="0" applyNumberFormat="1" applyFont="1" applyFill="1" applyBorder="1" applyAlignment="1">
      <alignment horizontal="center" vertical="center"/>
    </xf>
    <xf numFmtId="4" fontId="144" fillId="0" borderId="13" xfId="0" applyNumberFormat="1" applyFont="1" applyFill="1" applyBorder="1" applyAlignment="1">
      <alignment horizont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1" fillId="18" borderId="0" xfId="0" applyFont="1" applyFill="1" applyProtection="1"/>
    <xf numFmtId="3" fontId="0" fillId="0" borderId="0" xfId="0" applyNumberFormat="1" applyProtection="1"/>
    <xf numFmtId="172" fontId="0" fillId="0" borderId="13" xfId="0" applyNumberFormat="1" applyBorder="1" applyAlignment="1">
      <alignment horizontal="center" vertical="center"/>
    </xf>
    <xf numFmtId="0" fontId="11" fillId="0" borderId="0" xfId="0" applyFont="1" applyBorder="1" applyAlignment="1">
      <alignment horizontal="right" vertical="center"/>
    </xf>
    <xf numFmtId="179" fontId="11" fillId="24" borderId="57" xfId="0" applyNumberFormat="1" applyFont="1" applyFill="1" applyBorder="1" applyAlignment="1" applyProtection="1">
      <alignment horizontal="center" vertical="center"/>
    </xf>
    <xf numFmtId="179" fontId="0" fillId="24" borderId="57" xfId="0" applyNumberFormat="1" applyFill="1" applyBorder="1" applyAlignment="1" applyProtection="1">
      <alignment vertical="center"/>
    </xf>
    <xf numFmtId="179" fontId="0" fillId="24" borderId="29" xfId="0" applyNumberFormat="1" applyFill="1" applyBorder="1" applyAlignment="1" applyProtection="1">
      <alignment horizontal="right" vertical="center"/>
    </xf>
    <xf numFmtId="179" fontId="11" fillId="24" borderId="57" xfId="0" applyNumberFormat="1" applyFont="1" applyFill="1" applyBorder="1" applyAlignment="1" applyProtection="1">
      <alignment vertical="center"/>
    </xf>
    <xf numFmtId="179" fontId="11" fillId="24" borderId="29" xfId="0" applyNumberFormat="1" applyFont="1" applyFill="1" applyBorder="1" applyAlignment="1" applyProtection="1">
      <alignment horizontal="center" vertical="center"/>
    </xf>
    <xf numFmtId="179" fontId="0" fillId="0" borderId="90" xfId="0" applyNumberFormat="1" applyBorder="1" applyAlignment="1">
      <alignment horizontal="center" vertical="center"/>
    </xf>
    <xf numFmtId="179" fontId="11" fillId="0" borderId="106" xfId="0" applyNumberFormat="1" applyFont="1" applyBorder="1" applyAlignment="1">
      <alignment horizontal="right" vertical="center"/>
    </xf>
    <xf numFmtId="179" fontId="64" fillId="0" borderId="0" xfId="0" applyNumberFormat="1" applyFont="1" applyBorder="1" applyAlignment="1">
      <alignment vertical="center"/>
    </xf>
    <xf numFmtId="179" fontId="64" fillId="0" borderId="0" xfId="0" applyNumberFormat="1" applyFont="1" applyBorder="1" applyAlignment="1">
      <alignment horizontal="center" vertical="center"/>
    </xf>
    <xf numFmtId="0" fontId="20" fillId="0" borderId="0" xfId="0" applyFont="1" applyAlignment="1" applyProtection="1">
      <alignment horizontal="left" vertical="center"/>
    </xf>
    <xf numFmtId="0" fontId="146" fillId="0" borderId="0" xfId="0" applyFont="1" applyFill="1" applyBorder="1" applyProtection="1"/>
    <xf numFmtId="3" fontId="146" fillId="0" borderId="0" xfId="0" applyNumberFormat="1" applyFont="1" applyFill="1" applyBorder="1" applyAlignment="1" applyProtection="1">
      <alignment horizontal="center" vertical="center"/>
    </xf>
    <xf numFmtId="3" fontId="145" fillId="0" borderId="0" xfId="0" applyNumberFormat="1" applyFont="1" applyFill="1" applyBorder="1" applyAlignment="1" applyProtection="1">
      <alignment horizontal="center" vertical="center"/>
    </xf>
    <xf numFmtId="0" fontId="145" fillId="0" borderId="0" xfId="0" applyFont="1" applyFill="1" applyBorder="1" applyProtection="1"/>
    <xf numFmtId="0" fontId="146" fillId="0" borderId="0" xfId="0" applyFont="1" applyFill="1" applyBorder="1" applyAlignment="1" applyProtection="1">
      <alignment horizontal="center" vertical="center"/>
    </xf>
    <xf numFmtId="0" fontId="20" fillId="0" borderId="0" xfId="0" applyFont="1" applyProtection="1">
      <protection locked="0"/>
    </xf>
    <xf numFmtId="0" fontId="20" fillId="18" borderId="0" xfId="0" applyFont="1" applyFill="1" applyProtection="1">
      <protection locked="0"/>
    </xf>
    <xf numFmtId="0" fontId="0" fillId="0" borderId="84" xfId="0" applyBorder="1"/>
    <xf numFmtId="0" fontId="0" fillId="0" borderId="84" xfId="0" applyBorder="1" applyAlignment="1">
      <alignment horizontal="center" vertical="center"/>
    </xf>
    <xf numFmtId="0" fontId="0" fillId="0" borderId="43" xfId="0" applyBorder="1"/>
    <xf numFmtId="0" fontId="0" fillId="0" borderId="44" xfId="0" applyBorder="1"/>
    <xf numFmtId="0" fontId="140" fillId="0" borderId="0" xfId="0" applyFont="1"/>
    <xf numFmtId="0" fontId="21" fillId="0" borderId="10" xfId="0" applyFont="1" applyFill="1" applyBorder="1" applyAlignment="1" applyProtection="1">
      <alignment horizontal="center"/>
    </xf>
    <xf numFmtId="0" fontId="21" fillId="0" borderId="12" xfId="0" applyFont="1" applyFill="1" applyBorder="1" applyAlignment="1" applyProtection="1">
      <alignment horizontal="center"/>
    </xf>
    <xf numFmtId="0" fontId="60" fillId="0" borderId="0" xfId="0" applyFont="1" applyFill="1" applyBorder="1" applyProtection="1"/>
    <xf numFmtId="0" fontId="11" fillId="0" borderId="0" xfId="0" applyFont="1" applyAlignment="1" applyProtection="1">
      <alignment horizontal="center" vertical="center"/>
    </xf>
    <xf numFmtId="0" fontId="11" fillId="0" borderId="0" xfId="0" applyFont="1" applyBorder="1" applyProtection="1"/>
    <xf numFmtId="181" fontId="20" fillId="18" borderId="0" xfId="0" applyNumberFormat="1" applyFont="1" applyFill="1" applyBorder="1" applyAlignment="1" applyProtection="1">
      <alignment horizontal="right" vertical="center"/>
    </xf>
    <xf numFmtId="0" fontId="20" fillId="18" borderId="45" xfId="0" applyFont="1" applyFill="1" applyBorder="1" applyAlignment="1" applyProtection="1">
      <alignment horizontal="center" vertical="center"/>
    </xf>
    <xf numFmtId="0" fontId="20" fillId="18" borderId="50" xfId="0" applyFont="1" applyFill="1" applyBorder="1" applyAlignment="1" applyProtection="1">
      <alignment horizontal="center" vertical="center"/>
    </xf>
    <xf numFmtId="0" fontId="11" fillId="42" borderId="24" xfId="0" applyFont="1" applyFill="1" applyBorder="1" applyAlignment="1" applyProtection="1">
      <alignment horizontal="center" vertical="center"/>
    </xf>
    <xf numFmtId="0" fontId="20" fillId="0" borderId="44" xfId="0" applyFont="1" applyBorder="1" applyAlignment="1" applyProtection="1">
      <alignment horizontal="center"/>
    </xf>
    <xf numFmtId="0" fontId="26" fillId="42" borderId="24" xfId="0" applyFont="1" applyFill="1" applyBorder="1" applyAlignment="1" applyProtection="1">
      <alignment horizontal="center" vertical="center" wrapText="1"/>
    </xf>
    <xf numFmtId="0" fontId="26" fillId="42" borderId="25" xfId="0" applyFont="1" applyFill="1" applyBorder="1" applyAlignment="1" applyProtection="1">
      <alignment horizontal="center" vertical="center" wrapText="1"/>
    </xf>
    <xf numFmtId="0" fontId="26" fillId="42" borderId="48" xfId="0" applyFont="1" applyFill="1" applyBorder="1" applyAlignment="1" applyProtection="1">
      <alignment horizontal="center" vertical="center" wrapText="1"/>
    </xf>
    <xf numFmtId="0" fontId="20" fillId="42" borderId="49" xfId="0" applyFont="1" applyFill="1" applyBorder="1" applyProtection="1"/>
    <xf numFmtId="0" fontId="20" fillId="42" borderId="91" xfId="0" applyFont="1" applyFill="1" applyBorder="1" applyAlignment="1" applyProtection="1">
      <alignment vertical="center"/>
    </xf>
    <xf numFmtId="0" fontId="21" fillId="42" borderId="91" xfId="0" applyFont="1" applyFill="1" applyBorder="1" applyAlignment="1" applyProtection="1">
      <alignment horizontal="center" vertical="center"/>
    </xf>
    <xf numFmtId="9" fontId="21" fillId="42" borderId="91" xfId="35" applyFont="1" applyFill="1" applyBorder="1" applyAlignment="1" applyProtection="1">
      <alignment horizontal="center" vertical="center"/>
    </xf>
    <xf numFmtId="9" fontId="20" fillId="42" borderId="91" xfId="35" applyFont="1" applyFill="1" applyBorder="1" applyAlignment="1" applyProtection="1">
      <alignment horizontal="center" vertical="center"/>
    </xf>
    <xf numFmtId="0" fontId="20" fillId="42" borderId="54" xfId="0" applyFont="1" applyFill="1" applyBorder="1" applyAlignment="1" applyProtection="1">
      <alignment vertical="center"/>
    </xf>
    <xf numFmtId="0" fontId="20" fillId="42" borderId="49" xfId="0" applyFont="1" applyFill="1" applyBorder="1" applyAlignment="1" applyProtection="1">
      <alignment vertical="center"/>
    </xf>
    <xf numFmtId="0" fontId="20" fillId="42" borderId="54" xfId="0" applyFont="1" applyFill="1" applyBorder="1" applyAlignment="1" applyProtection="1">
      <alignment vertical="center" wrapText="1"/>
    </xf>
    <xf numFmtId="0" fontId="21" fillId="22" borderId="49" xfId="0" applyFont="1" applyFill="1" applyBorder="1" applyAlignment="1" applyProtection="1">
      <alignment horizontal="center" vertical="center"/>
    </xf>
    <xf numFmtId="9" fontId="21" fillId="22" borderId="54" xfId="35" applyFont="1" applyFill="1" applyBorder="1" applyAlignment="1" applyProtection="1">
      <alignment horizontal="center" vertical="center"/>
    </xf>
    <xf numFmtId="0" fontId="20" fillId="41" borderId="83" xfId="0" applyFont="1" applyFill="1" applyBorder="1" applyAlignment="1" applyProtection="1">
      <alignment horizontal="center" vertical="center"/>
      <protection locked="0"/>
    </xf>
    <xf numFmtId="0" fontId="20" fillId="41" borderId="54" xfId="0" applyFont="1" applyFill="1" applyBorder="1" applyAlignment="1" applyProtection="1">
      <alignment horizontal="center" vertical="center"/>
      <protection locked="0"/>
    </xf>
    <xf numFmtId="0" fontId="20" fillId="41" borderId="49" xfId="0" applyFont="1" applyFill="1" applyBorder="1" applyAlignment="1" applyProtection="1">
      <alignment horizontal="center" vertical="center"/>
      <protection locked="0"/>
    </xf>
    <xf numFmtId="0" fontId="20" fillId="41" borderId="16" xfId="0" applyFont="1" applyFill="1" applyBorder="1" applyAlignment="1" applyProtection="1">
      <alignment horizontal="center" vertical="center"/>
      <protection locked="0"/>
    </xf>
    <xf numFmtId="0" fontId="20" fillId="41" borderId="37" xfId="0" applyFont="1" applyFill="1" applyBorder="1" applyAlignment="1" applyProtection="1">
      <alignment horizontal="center" vertical="center"/>
      <protection locked="0"/>
    </xf>
    <xf numFmtId="0" fontId="20" fillId="41" borderId="72" xfId="0" applyFont="1" applyFill="1" applyBorder="1" applyAlignment="1" applyProtection="1">
      <alignment horizontal="center" vertical="center"/>
      <protection locked="0"/>
    </xf>
    <xf numFmtId="0" fontId="20" fillId="41" borderId="91" xfId="0" applyFont="1" applyFill="1" applyBorder="1" applyAlignment="1" applyProtection="1">
      <alignment horizontal="center" vertical="center"/>
      <protection locked="0"/>
    </xf>
    <xf numFmtId="0" fontId="20" fillId="40" borderId="74" xfId="0" applyFont="1" applyFill="1" applyBorder="1" applyAlignment="1" applyProtection="1">
      <alignment horizontal="center" vertical="center"/>
    </xf>
    <xf numFmtId="0" fontId="20" fillId="41" borderId="79" xfId="0" applyFont="1" applyFill="1" applyBorder="1" applyAlignment="1" applyProtection="1">
      <alignment horizontal="center" vertical="center"/>
      <protection locked="0"/>
    </xf>
    <xf numFmtId="0" fontId="20" fillId="18" borderId="76" xfId="0" applyFont="1" applyFill="1" applyBorder="1" applyAlignment="1" applyProtection="1">
      <alignment horizontal="center" vertical="center"/>
    </xf>
    <xf numFmtId="0" fontId="20" fillId="41" borderId="19" xfId="0" applyFont="1" applyFill="1" applyBorder="1" applyAlignment="1" applyProtection="1">
      <alignment horizontal="center" vertical="center"/>
      <protection locked="0"/>
    </xf>
    <xf numFmtId="0" fontId="20" fillId="41" borderId="30" xfId="0" applyFont="1" applyFill="1" applyBorder="1" applyAlignment="1" applyProtection="1">
      <alignment horizontal="center" vertical="center"/>
      <protection locked="0"/>
    </xf>
    <xf numFmtId="0" fontId="20" fillId="41" borderId="36" xfId="0" applyFont="1" applyFill="1" applyBorder="1" applyAlignment="1" applyProtection="1">
      <alignment horizontal="center" vertical="center"/>
      <protection locked="0"/>
    </xf>
    <xf numFmtId="0" fontId="20" fillId="41" borderId="74" xfId="0" applyFont="1" applyFill="1" applyBorder="1" applyAlignment="1" applyProtection="1">
      <alignment horizontal="center" vertical="center"/>
      <protection locked="0"/>
    </xf>
    <xf numFmtId="0" fontId="20" fillId="41" borderId="18" xfId="0" applyFont="1" applyFill="1" applyBorder="1" applyAlignment="1" applyProtection="1">
      <alignment horizontal="center" vertical="center"/>
      <protection locked="0"/>
    </xf>
    <xf numFmtId="0" fontId="20" fillId="44" borderId="16" xfId="0" applyFont="1" applyFill="1" applyBorder="1" applyAlignment="1" applyProtection="1">
      <alignment horizontal="center" vertical="center"/>
    </xf>
    <xf numFmtId="0" fontId="20" fillId="44" borderId="46" xfId="0" applyFont="1" applyFill="1" applyBorder="1" applyAlignment="1" applyProtection="1">
      <alignment horizontal="center" vertical="center"/>
    </xf>
    <xf numFmtId="0" fontId="20" fillId="44" borderId="18" xfId="0" applyFont="1" applyFill="1" applyBorder="1" applyAlignment="1" applyProtection="1">
      <alignment horizontal="center" vertical="center"/>
    </xf>
    <xf numFmtId="0" fontId="20" fillId="22" borderId="72" xfId="0" applyFont="1" applyFill="1" applyBorder="1" applyAlignment="1" applyProtection="1">
      <alignment horizontal="center" vertical="center" wrapText="1"/>
    </xf>
    <xf numFmtId="0" fontId="20" fillId="41" borderId="73" xfId="0" applyFont="1" applyFill="1" applyBorder="1" applyAlignment="1" applyProtection="1">
      <alignment horizontal="center" vertical="center"/>
      <protection locked="0"/>
    </xf>
    <xf numFmtId="0" fontId="20" fillId="40" borderId="54" xfId="0" applyFont="1" applyFill="1" applyBorder="1" applyAlignment="1" applyProtection="1">
      <alignment horizontal="center" vertical="center"/>
    </xf>
    <xf numFmtId="0" fontId="20" fillId="41" borderId="80" xfId="0" applyFont="1" applyFill="1" applyBorder="1" applyAlignment="1" applyProtection="1">
      <alignment horizontal="center" vertical="center"/>
      <protection locked="0"/>
    </xf>
    <xf numFmtId="0" fontId="20" fillId="41" borderId="76" xfId="0" applyFont="1" applyFill="1" applyBorder="1" applyAlignment="1" applyProtection="1">
      <alignment horizontal="center" vertical="center"/>
    </xf>
    <xf numFmtId="0" fontId="20" fillId="0" borderId="31" xfId="0" applyFont="1" applyFill="1" applyBorder="1" applyAlignment="1" applyProtection="1">
      <alignment horizontal="center" vertical="center"/>
    </xf>
    <xf numFmtId="0" fontId="20" fillId="41" borderId="33" xfId="0" applyFont="1" applyFill="1" applyBorder="1" applyAlignment="1" applyProtection="1">
      <alignment horizontal="center" vertical="center"/>
      <protection locked="0"/>
    </xf>
    <xf numFmtId="0" fontId="20" fillId="41" borderId="22"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xf>
    <xf numFmtId="0" fontId="20" fillId="18" borderId="20" xfId="0" applyFont="1" applyFill="1" applyBorder="1" applyAlignment="1" applyProtection="1">
      <alignment horizontal="center" vertical="center"/>
    </xf>
    <xf numFmtId="0" fontId="20" fillId="18" borderId="51" xfId="0" applyFont="1" applyFill="1" applyBorder="1" applyAlignment="1" applyProtection="1">
      <alignment horizontal="center" vertical="center"/>
    </xf>
    <xf numFmtId="0" fontId="20" fillId="18" borderId="10" xfId="0" applyFont="1" applyFill="1" applyBorder="1" applyAlignment="1" applyProtection="1">
      <alignment horizontal="center" vertical="center"/>
    </xf>
    <xf numFmtId="0" fontId="20" fillId="18" borderId="33" xfId="0" applyFont="1" applyFill="1" applyBorder="1" applyAlignment="1" applyProtection="1">
      <alignment horizontal="center" vertical="center"/>
    </xf>
    <xf numFmtId="0" fontId="20" fillId="40" borderId="17" xfId="0" applyFont="1" applyFill="1" applyBorder="1" applyAlignment="1" applyProtection="1">
      <alignment horizontal="center" vertical="center"/>
    </xf>
    <xf numFmtId="0" fontId="20" fillId="0" borderId="45" xfId="0" applyFont="1" applyFill="1" applyBorder="1" applyAlignment="1" applyProtection="1">
      <alignment horizontal="center" vertical="center"/>
    </xf>
    <xf numFmtId="0" fontId="20" fillId="18" borderId="34" xfId="0" applyFont="1" applyFill="1" applyBorder="1" applyAlignment="1" applyProtection="1">
      <alignment horizontal="center" vertical="center"/>
    </xf>
    <xf numFmtId="0" fontId="20" fillId="18" borderId="85" xfId="0" applyFont="1" applyFill="1" applyBorder="1" applyAlignment="1" applyProtection="1">
      <alignment horizontal="center" vertical="center"/>
    </xf>
    <xf numFmtId="0" fontId="20" fillId="18" borderId="69" xfId="0" applyFont="1" applyFill="1" applyBorder="1" applyAlignment="1" applyProtection="1">
      <alignment horizontal="center" vertical="center"/>
    </xf>
    <xf numFmtId="0" fontId="20" fillId="40" borderId="20" xfId="0" applyFont="1" applyFill="1" applyBorder="1" applyAlignment="1" applyProtection="1">
      <alignment horizontal="center" vertical="center"/>
    </xf>
    <xf numFmtId="0" fontId="20" fillId="40" borderId="97" xfId="0" applyFont="1" applyFill="1" applyBorder="1" applyAlignment="1" applyProtection="1">
      <alignment horizontal="center" vertical="center"/>
    </xf>
    <xf numFmtId="0" fontId="20" fillId="40" borderId="51" xfId="0" applyFont="1" applyFill="1" applyBorder="1" applyAlignment="1" applyProtection="1">
      <alignment horizontal="center" vertical="center"/>
    </xf>
    <xf numFmtId="0" fontId="20" fillId="40" borderId="45" xfId="0" applyFont="1" applyFill="1" applyBorder="1" applyAlignment="1" applyProtection="1">
      <alignment horizontal="center" vertical="center"/>
    </xf>
    <xf numFmtId="0" fontId="20" fillId="40" borderId="50" xfId="0" applyFont="1" applyFill="1" applyBorder="1" applyAlignment="1" applyProtection="1">
      <alignment horizontal="center" vertical="center"/>
    </xf>
    <xf numFmtId="167" fontId="1" fillId="41" borderId="54" xfId="35" applyNumberFormat="1" applyFont="1" applyFill="1" applyBorder="1" applyAlignment="1" applyProtection="1">
      <alignment horizontal="center" vertical="center"/>
      <protection locked="0"/>
    </xf>
    <xf numFmtId="167" fontId="1" fillId="41" borderId="72" xfId="35" applyNumberFormat="1" applyFont="1" applyFill="1" applyBorder="1" applyAlignment="1" applyProtection="1">
      <alignment horizontal="center" vertical="center"/>
      <protection locked="0"/>
    </xf>
    <xf numFmtId="0" fontId="1" fillId="24" borderId="39" xfId="0" applyFont="1" applyFill="1" applyBorder="1" applyAlignment="1" applyProtection="1">
      <alignment horizontal="right" vertical="center"/>
    </xf>
    <xf numFmtId="0" fontId="1" fillId="24" borderId="57" xfId="0" applyFont="1" applyFill="1" applyBorder="1" applyAlignment="1" applyProtection="1">
      <alignment horizontal="right" vertical="center"/>
    </xf>
    <xf numFmtId="167" fontId="1" fillId="41" borderId="73" xfId="35" applyNumberFormat="1"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xf>
    <xf numFmtId="0" fontId="21" fillId="21" borderId="39" xfId="0" applyFont="1" applyFill="1" applyBorder="1" applyAlignment="1" applyProtection="1">
      <alignment horizontal="center" vertical="center"/>
    </xf>
    <xf numFmtId="0" fontId="27" fillId="22" borderId="29" xfId="0" applyFont="1" applyFill="1" applyBorder="1" applyAlignment="1" applyProtection="1">
      <alignment horizontal="center" vertical="center"/>
    </xf>
    <xf numFmtId="0" fontId="2" fillId="22" borderId="39" xfId="0" applyFont="1" applyFill="1" applyBorder="1" applyAlignment="1" applyProtection="1">
      <alignment horizontal="center" vertical="center"/>
    </xf>
    <xf numFmtId="0" fontId="26" fillId="18" borderId="0" xfId="0" applyFont="1" applyFill="1" applyBorder="1" applyAlignment="1" applyProtection="1">
      <alignment horizontal="center"/>
    </xf>
    <xf numFmtId="0" fontId="20" fillId="0" borderId="44" xfId="0" applyFont="1" applyFill="1" applyBorder="1" applyAlignment="1" applyProtection="1">
      <alignment horizontal="center" vertical="center"/>
    </xf>
    <xf numFmtId="0" fontId="20" fillId="0" borderId="50" xfId="0" applyFont="1" applyFill="1" applyBorder="1" applyAlignment="1" applyProtection="1">
      <alignment horizontal="center" vertical="center"/>
    </xf>
    <xf numFmtId="0" fontId="20" fillId="0" borderId="20" xfId="0" applyFont="1" applyFill="1" applyBorder="1" applyAlignment="1" applyProtection="1">
      <alignment horizontal="center" vertical="center"/>
    </xf>
    <xf numFmtId="9" fontId="26" fillId="39" borderId="35" xfId="35" applyFont="1" applyFill="1" applyBorder="1" applyAlignment="1" applyProtection="1">
      <alignment horizontal="center" vertical="center"/>
    </xf>
    <xf numFmtId="3" fontId="147" fillId="41" borderId="13" xfId="0" applyNumberFormat="1" applyFont="1" applyFill="1" applyBorder="1" applyAlignment="1" applyProtection="1">
      <alignment horizontal="center" vertical="center"/>
      <protection locked="0"/>
    </xf>
    <xf numFmtId="3" fontId="147" fillId="41" borderId="11" xfId="0" applyNumberFormat="1" applyFont="1" applyFill="1" applyBorder="1" applyAlignment="1" applyProtection="1">
      <alignment horizontal="center" vertical="center"/>
      <protection locked="0"/>
    </xf>
    <xf numFmtId="3" fontId="147" fillId="41" borderId="23" xfId="0" applyNumberFormat="1" applyFont="1" applyFill="1" applyBorder="1" applyAlignment="1" applyProtection="1">
      <alignment horizontal="center" vertical="center"/>
      <protection locked="0"/>
    </xf>
    <xf numFmtId="17" fontId="27" fillId="22" borderId="28" xfId="0" quotePrefix="1" applyNumberFormat="1" applyFont="1" applyFill="1" applyBorder="1" applyAlignment="1" applyProtection="1">
      <alignment horizontal="center" vertical="center"/>
    </xf>
    <xf numFmtId="180" fontId="27" fillId="22" borderId="28" xfId="0" quotePrefix="1" applyNumberFormat="1" applyFont="1" applyFill="1" applyBorder="1" applyAlignment="1" applyProtection="1">
      <alignment horizontal="center" vertical="center"/>
    </xf>
    <xf numFmtId="17" fontId="27" fillId="22" borderId="28" xfId="0" quotePrefix="1" applyNumberFormat="1" applyFont="1" applyFill="1" applyBorder="1" applyAlignment="1" applyProtection="1">
      <alignment horizontal="center" vertical="center" wrapText="1"/>
    </xf>
    <xf numFmtId="3" fontId="11" fillId="44" borderId="66" xfId="45" applyNumberFormat="1" applyFont="1" applyFill="1" applyBorder="1" applyAlignment="1" applyProtection="1">
      <alignment horizontal="center" vertical="center"/>
    </xf>
    <xf numFmtId="172" fontId="11" fillId="44" borderId="51" xfId="45" applyNumberFormat="1" applyFont="1" applyFill="1" applyBorder="1" applyAlignment="1" applyProtection="1">
      <alignment horizontal="center" vertical="center"/>
    </xf>
    <xf numFmtId="172" fontId="11" fillId="44" borderId="85" xfId="45" applyNumberFormat="1" applyFont="1" applyFill="1" applyBorder="1" applyAlignment="1" applyProtection="1">
      <alignment horizontal="center" vertical="center"/>
    </xf>
    <xf numFmtId="0" fontId="0" fillId="41" borderId="11" xfId="0" applyNumberFormat="1" applyFill="1" applyBorder="1" applyAlignment="1" applyProtection="1">
      <alignment horizontal="center" vertical="center"/>
      <protection locked="0"/>
    </xf>
    <xf numFmtId="0" fontId="0" fillId="41" borderId="13" xfId="0" applyNumberFormat="1" applyFill="1" applyBorder="1" applyAlignment="1" applyProtection="1">
      <alignment horizontal="center" vertical="center"/>
      <protection locked="0"/>
    </xf>
    <xf numFmtId="3" fontId="11" fillId="41" borderId="13" xfId="0" applyNumberFormat="1" applyFont="1" applyFill="1" applyBorder="1" applyAlignment="1" applyProtection="1">
      <alignment horizontal="center" vertical="center"/>
      <protection locked="0"/>
    </xf>
    <xf numFmtId="0" fontId="11" fillId="22" borderId="21" xfId="0" applyFont="1" applyFill="1" applyBorder="1" applyAlignment="1" applyProtection="1">
      <alignment horizontal="center" vertical="center"/>
    </xf>
    <xf numFmtId="0" fontId="11" fillId="22" borderId="19" xfId="0" applyFont="1" applyFill="1" applyBorder="1" applyAlignment="1" applyProtection="1">
      <alignment horizontal="center" vertical="center"/>
    </xf>
    <xf numFmtId="0" fontId="11" fillId="22" borderId="19" xfId="0" applyFont="1" applyFill="1" applyBorder="1" applyAlignment="1" applyProtection="1">
      <alignment horizontal="center" vertical="center" wrapText="1"/>
    </xf>
    <xf numFmtId="0" fontId="11" fillId="22" borderId="18" xfId="0" applyFont="1" applyFill="1" applyBorder="1" applyAlignment="1" applyProtection="1">
      <alignment horizontal="center" vertical="center"/>
    </xf>
    <xf numFmtId="0" fontId="11" fillId="42" borderId="49" xfId="0" applyFont="1" applyFill="1" applyBorder="1" applyAlignment="1" applyProtection="1">
      <alignment horizontal="center" vertical="center"/>
    </xf>
    <xf numFmtId="0" fontId="1" fillId="42" borderId="35" xfId="0" applyFont="1" applyFill="1" applyBorder="1" applyAlignment="1" applyProtection="1">
      <alignment horizontal="center" vertical="center"/>
    </xf>
    <xf numFmtId="0" fontId="50" fillId="18" borderId="44" xfId="0" applyFont="1" applyFill="1" applyBorder="1" applyAlignment="1" applyProtection="1">
      <alignment horizontal="center" vertical="center"/>
    </xf>
    <xf numFmtId="0" fontId="50" fillId="0" borderId="0" xfId="0" applyFont="1" applyBorder="1" applyProtection="1"/>
    <xf numFmtId="9" fontId="26" fillId="39" borderId="74" xfId="35" applyFont="1" applyFill="1" applyBorder="1" applyAlignment="1" applyProtection="1">
      <alignment horizontal="center" vertical="center"/>
    </xf>
    <xf numFmtId="0" fontId="0" fillId="18" borderId="82" xfId="0" applyFill="1" applyBorder="1" applyProtection="1"/>
    <xf numFmtId="0" fontId="11" fillId="42" borderId="59" xfId="0" applyFont="1" applyFill="1" applyBorder="1" applyAlignment="1" applyProtection="1">
      <alignment horizontal="center" vertical="center" wrapText="1"/>
    </xf>
    <xf numFmtId="0" fontId="0" fillId="0" borderId="46" xfId="0" applyBorder="1" applyProtection="1"/>
    <xf numFmtId="0" fontId="0" fillId="0" borderId="84" xfId="0" applyBorder="1" applyProtection="1"/>
    <xf numFmtId="0" fontId="11" fillId="42" borderId="23" xfId="0" applyFont="1" applyFill="1" applyBorder="1" applyAlignment="1" applyProtection="1">
      <alignment horizontal="center" vertical="center" wrapText="1"/>
    </xf>
    <xf numFmtId="3" fontId="11" fillId="41" borderId="46" xfId="0" applyNumberFormat="1" applyFont="1" applyFill="1" applyBorder="1" applyAlignment="1" applyProtection="1">
      <alignment horizontal="center" vertical="center"/>
      <protection locked="0"/>
    </xf>
    <xf numFmtId="172" fontId="11" fillId="44" borderId="46" xfId="0" applyNumberFormat="1" applyFont="1" applyFill="1" applyBorder="1" applyAlignment="1" applyProtection="1">
      <alignment horizontal="center" vertical="center"/>
    </xf>
    <xf numFmtId="0" fontId="11" fillId="41" borderId="54" xfId="0" applyFont="1" applyFill="1" applyBorder="1" applyAlignment="1" applyProtection="1">
      <alignment horizontal="center" vertical="center"/>
      <protection locked="0"/>
    </xf>
    <xf numFmtId="173" fontId="11" fillId="41" borderId="54" xfId="0" applyNumberFormat="1" applyFont="1" applyFill="1" applyBorder="1" applyAlignment="1" applyProtection="1">
      <alignment horizontal="center" vertical="center"/>
      <protection locked="0"/>
    </xf>
    <xf numFmtId="3" fontId="21" fillId="44" borderId="28" xfId="0" applyNumberFormat="1" applyFont="1" applyFill="1" applyBorder="1" applyAlignment="1" applyProtection="1">
      <alignment horizontal="center" vertical="center"/>
    </xf>
    <xf numFmtId="3" fontId="21" fillId="44" borderId="48" xfId="0" applyNumberFormat="1" applyFont="1" applyFill="1" applyBorder="1" applyAlignment="1" applyProtection="1">
      <alignment horizontal="center" vertical="center"/>
    </xf>
    <xf numFmtId="3" fontId="20" fillId="41" borderId="15" xfId="0" applyNumberFormat="1" applyFont="1" applyFill="1" applyBorder="1" applyAlignment="1" applyProtection="1">
      <alignment horizontal="center" vertical="center"/>
      <protection locked="0"/>
    </xf>
    <xf numFmtId="4" fontId="20" fillId="41" borderId="15" xfId="45" applyNumberFormat="1" applyFont="1" applyFill="1" applyBorder="1" applyAlignment="1" applyProtection="1">
      <alignment horizontal="center" vertical="center"/>
      <protection locked="0"/>
    </xf>
    <xf numFmtId="3" fontId="21" fillId="44" borderId="37" xfId="0" applyNumberFormat="1" applyFont="1" applyFill="1" applyBorder="1" applyAlignment="1" applyProtection="1">
      <alignment horizontal="center" vertical="center"/>
    </xf>
    <xf numFmtId="3" fontId="20" fillId="41" borderId="13" xfId="0" applyNumberFormat="1" applyFont="1" applyFill="1" applyBorder="1" applyAlignment="1" applyProtection="1">
      <alignment horizontal="center" vertical="center"/>
      <protection locked="0"/>
    </xf>
    <xf numFmtId="4" fontId="20" fillId="41" borderId="13" xfId="45" applyNumberFormat="1" applyFont="1" applyFill="1" applyBorder="1" applyAlignment="1" applyProtection="1">
      <alignment horizontal="center" vertical="center"/>
      <protection locked="0"/>
    </xf>
    <xf numFmtId="3" fontId="21" fillId="44" borderId="30" xfId="0" applyNumberFormat="1" applyFont="1" applyFill="1" applyBorder="1" applyAlignment="1" applyProtection="1">
      <alignment horizontal="center" vertical="center"/>
    </xf>
    <xf numFmtId="3" fontId="20" fillId="41" borderId="64" xfId="0" applyNumberFormat="1" applyFont="1" applyFill="1" applyBorder="1" applyAlignment="1" applyProtection="1">
      <alignment horizontal="center" vertical="center"/>
      <protection locked="0"/>
    </xf>
    <xf numFmtId="4" fontId="20" fillId="41" borderId="64" xfId="45" applyNumberFormat="1" applyFont="1" applyFill="1" applyBorder="1" applyAlignment="1" applyProtection="1">
      <alignment horizontal="center" vertical="center"/>
      <protection locked="0"/>
    </xf>
    <xf numFmtId="3" fontId="21" fillId="44" borderId="60" xfId="0" applyNumberFormat="1" applyFont="1" applyFill="1" applyBorder="1" applyAlignment="1" applyProtection="1">
      <alignment horizontal="center" vertical="center"/>
    </xf>
    <xf numFmtId="0" fontId="21" fillId="18" borderId="44" xfId="0" applyFont="1" applyFill="1" applyBorder="1" applyProtection="1"/>
    <xf numFmtId="3" fontId="21" fillId="0" borderId="28" xfId="0" applyNumberFormat="1" applyFont="1" applyFill="1" applyBorder="1" applyAlignment="1" applyProtection="1">
      <alignment horizontal="center" vertical="center"/>
    </xf>
    <xf numFmtId="3" fontId="20" fillId="41" borderId="68" xfId="0" applyNumberFormat="1" applyFont="1" applyFill="1" applyBorder="1" applyAlignment="1" applyProtection="1">
      <alignment horizontal="center" vertical="center"/>
      <protection locked="0"/>
    </xf>
    <xf numFmtId="3" fontId="20" fillId="41" borderId="27" xfId="0" applyNumberFormat="1" applyFont="1" applyFill="1" applyBorder="1" applyAlignment="1" applyProtection="1">
      <alignment horizontal="center" vertical="center"/>
      <protection locked="0"/>
    </xf>
    <xf numFmtId="3" fontId="20" fillId="41" borderId="46" xfId="0" applyNumberFormat="1" applyFont="1" applyFill="1" applyBorder="1" applyAlignment="1" applyProtection="1">
      <alignment horizontal="center" vertical="center"/>
      <protection locked="0"/>
    </xf>
    <xf numFmtId="3" fontId="21" fillId="44" borderId="47" xfId="0" applyNumberFormat="1" applyFont="1" applyFill="1" applyBorder="1" applyAlignment="1" applyProtection="1">
      <alignment horizontal="center" vertical="center"/>
    </xf>
    <xf numFmtId="0" fontId="20" fillId="18" borderId="50" xfId="0" applyFont="1" applyFill="1" applyBorder="1" applyProtection="1"/>
    <xf numFmtId="3" fontId="20" fillId="39" borderId="37" xfId="45" applyNumberFormat="1" applyFont="1" applyFill="1" applyBorder="1" applyAlignment="1" applyProtection="1">
      <alignment horizontal="center" vertical="center"/>
    </xf>
    <xf numFmtId="3" fontId="20" fillId="39" borderId="30" xfId="45" applyNumberFormat="1" applyFont="1" applyFill="1" applyBorder="1" applyAlignment="1" applyProtection="1">
      <alignment horizontal="center" vertical="center"/>
    </xf>
    <xf numFmtId="3" fontId="20" fillId="39" borderId="60" xfId="45" applyNumberFormat="1" applyFont="1" applyFill="1" applyBorder="1" applyAlignment="1" applyProtection="1">
      <alignment horizontal="center" vertical="center"/>
    </xf>
    <xf numFmtId="3" fontId="21" fillId="21" borderId="48" xfId="0" applyNumberFormat="1" applyFont="1" applyFill="1" applyBorder="1" applyAlignment="1" applyProtection="1">
      <alignment horizontal="center" vertical="center"/>
    </xf>
    <xf numFmtId="0" fontId="21" fillId="18" borderId="57" xfId="0" applyFont="1" applyFill="1" applyBorder="1" applyAlignment="1" applyProtection="1">
      <alignment horizontal="center" wrapText="1"/>
    </xf>
    <xf numFmtId="0" fontId="20" fillId="39" borderId="0" xfId="0" applyFont="1" applyFill="1" applyBorder="1" applyProtection="1">
      <protection locked="0"/>
    </xf>
    <xf numFmtId="3" fontId="20" fillId="39" borderId="15" xfId="0" applyNumberFormat="1" applyFont="1" applyFill="1" applyBorder="1" applyAlignment="1" applyProtection="1">
      <alignment horizontal="center" vertical="center"/>
    </xf>
    <xf numFmtId="0" fontId="20" fillId="44" borderId="0" xfId="0" applyFont="1" applyFill="1" applyBorder="1" applyProtection="1">
      <protection locked="0"/>
    </xf>
    <xf numFmtId="3" fontId="20" fillId="44" borderId="13" xfId="0" applyNumberFormat="1" applyFont="1" applyFill="1" applyBorder="1" applyAlignment="1" applyProtection="1">
      <alignment horizontal="center" vertical="center"/>
    </xf>
    <xf numFmtId="0" fontId="20" fillId="44" borderId="17" xfId="0" applyFont="1" applyFill="1" applyBorder="1" applyProtection="1">
      <protection locked="0"/>
    </xf>
    <xf numFmtId="3" fontId="20" fillId="44" borderId="14" xfId="0" applyNumberFormat="1" applyFont="1" applyFill="1" applyBorder="1" applyAlignment="1" applyProtection="1">
      <alignment horizontal="center" vertical="center"/>
    </xf>
    <xf numFmtId="9" fontId="21" fillId="41" borderId="58" xfId="0" applyNumberFormat="1" applyFont="1" applyFill="1" applyBorder="1" applyAlignment="1" applyProtection="1">
      <alignment horizontal="center" vertical="center"/>
      <protection locked="0"/>
    </xf>
    <xf numFmtId="9" fontId="20" fillId="41" borderId="58" xfId="0" applyNumberFormat="1" applyFont="1" applyFill="1" applyBorder="1" applyAlignment="1" applyProtection="1">
      <alignment horizontal="center" vertical="center"/>
      <protection locked="0"/>
    </xf>
    <xf numFmtId="9" fontId="20" fillId="41" borderId="11" xfId="0" applyNumberFormat="1" applyFont="1" applyFill="1" applyBorder="1" applyAlignment="1" applyProtection="1">
      <alignment horizontal="center" vertical="center"/>
      <protection locked="0"/>
    </xf>
    <xf numFmtId="9" fontId="20" fillId="41" borderId="26" xfId="0" applyNumberFormat="1" applyFont="1" applyFill="1" applyBorder="1" applyAlignment="1" applyProtection="1">
      <alignment horizontal="center" vertical="center"/>
      <protection locked="0"/>
    </xf>
    <xf numFmtId="9" fontId="21" fillId="41" borderId="27" xfId="0" applyNumberFormat="1" applyFont="1" applyFill="1" applyBorder="1" applyAlignment="1" applyProtection="1">
      <alignment horizontal="center" vertical="center"/>
      <protection locked="0"/>
    </xf>
    <xf numFmtId="9" fontId="20" fillId="41" borderId="27" xfId="0" applyNumberFormat="1" applyFont="1" applyFill="1" applyBorder="1" applyAlignment="1" applyProtection="1">
      <alignment horizontal="center" vertical="center"/>
      <protection locked="0"/>
    </xf>
    <xf numFmtId="9" fontId="20" fillId="41" borderId="13" xfId="0" applyNumberFormat="1" applyFont="1" applyFill="1" applyBorder="1" applyAlignment="1" applyProtection="1">
      <alignment horizontal="center" vertical="center"/>
      <protection locked="0"/>
    </xf>
    <xf numFmtId="9" fontId="20" fillId="41" borderId="30" xfId="0" applyNumberFormat="1" applyFont="1" applyFill="1" applyBorder="1" applyAlignment="1" applyProtection="1">
      <alignment horizontal="center" vertical="center"/>
      <protection locked="0"/>
    </xf>
    <xf numFmtId="9" fontId="21" fillId="41" borderId="56" xfId="0" applyNumberFormat="1" applyFont="1" applyFill="1" applyBorder="1" applyAlignment="1" applyProtection="1">
      <alignment horizontal="center" vertical="center"/>
      <protection locked="0"/>
    </xf>
    <xf numFmtId="9" fontId="20" fillId="41" borderId="56" xfId="0" applyNumberFormat="1" applyFont="1" applyFill="1" applyBorder="1" applyAlignment="1" applyProtection="1">
      <alignment horizontal="center" vertical="center"/>
      <protection locked="0"/>
    </xf>
    <xf numFmtId="9" fontId="20" fillId="41" borderId="14" xfId="0" applyNumberFormat="1" applyFont="1" applyFill="1" applyBorder="1" applyAlignment="1" applyProtection="1">
      <alignment horizontal="center" vertical="center"/>
      <protection locked="0"/>
    </xf>
    <xf numFmtId="9" fontId="20" fillId="41" borderId="38" xfId="0" applyNumberFormat="1" applyFont="1" applyFill="1" applyBorder="1" applyAlignment="1" applyProtection="1">
      <alignment horizontal="center" vertical="center"/>
      <protection locked="0"/>
    </xf>
    <xf numFmtId="3" fontId="20" fillId="39" borderId="37" xfId="0" applyNumberFormat="1" applyFont="1" applyFill="1" applyBorder="1" applyAlignment="1" applyProtection="1">
      <alignment horizontal="center" vertical="center"/>
    </xf>
    <xf numFmtId="3" fontId="20" fillId="44" borderId="30" xfId="0" applyNumberFormat="1" applyFont="1" applyFill="1" applyBorder="1" applyAlignment="1" applyProtection="1">
      <alignment horizontal="center" vertical="center"/>
    </xf>
    <xf numFmtId="3" fontId="20" fillId="44" borderId="38" xfId="0" applyNumberFormat="1" applyFont="1" applyFill="1" applyBorder="1" applyAlignment="1" applyProtection="1">
      <alignment horizontal="center" vertical="center"/>
    </xf>
    <xf numFmtId="0" fontId="20" fillId="42" borderId="44" xfId="0" applyFont="1" applyFill="1" applyBorder="1" applyProtection="1">
      <protection locked="0"/>
    </xf>
    <xf numFmtId="0" fontId="20" fillId="42" borderId="0" xfId="0" applyFont="1" applyFill="1" applyBorder="1" applyProtection="1">
      <protection locked="0"/>
    </xf>
    <xf numFmtId="0" fontId="20" fillId="42" borderId="56" xfId="0" applyFont="1" applyFill="1" applyBorder="1" applyAlignment="1" applyProtection="1">
      <alignment horizontal="center" vertical="center"/>
    </xf>
    <xf numFmtId="0" fontId="20" fillId="42" borderId="14" xfId="0" applyFont="1" applyFill="1" applyBorder="1" applyAlignment="1" applyProtection="1">
      <alignment horizontal="center" vertical="center"/>
    </xf>
    <xf numFmtId="0" fontId="20" fillId="42" borderId="56" xfId="0" applyFont="1" applyFill="1" applyBorder="1" applyAlignment="1" applyProtection="1">
      <alignment horizontal="center" vertical="center" wrapText="1"/>
    </xf>
    <xf numFmtId="0" fontId="20" fillId="42" borderId="14" xfId="0" applyFont="1" applyFill="1" applyBorder="1" applyAlignment="1" applyProtection="1">
      <alignment horizontal="center" vertical="center" wrapText="1"/>
    </xf>
    <xf numFmtId="0" fontId="20" fillId="42" borderId="38" xfId="0" applyFont="1" applyFill="1" applyBorder="1" applyAlignment="1" applyProtection="1">
      <alignment horizontal="center" vertical="center" wrapText="1"/>
    </xf>
    <xf numFmtId="3" fontId="20" fillId="42" borderId="71" xfId="0" applyNumberFormat="1" applyFont="1" applyFill="1" applyBorder="1" applyAlignment="1" applyProtection="1">
      <alignment horizontal="center" vertical="center"/>
    </xf>
    <xf numFmtId="3" fontId="20" fillId="42" borderId="14" xfId="0" applyNumberFormat="1" applyFont="1" applyFill="1" applyBorder="1" applyAlignment="1" applyProtection="1">
      <alignment horizontal="center" vertical="center"/>
    </xf>
    <xf numFmtId="0" fontId="20" fillId="42" borderId="38" xfId="0" applyFont="1" applyFill="1" applyBorder="1" applyAlignment="1" applyProtection="1">
      <alignment horizontal="center" vertical="center"/>
    </xf>
    <xf numFmtId="0" fontId="20" fillId="44" borderId="68" xfId="0" applyFont="1" applyFill="1" applyBorder="1" applyAlignment="1" applyProtection="1">
      <alignment horizontal="center" vertical="center"/>
    </xf>
    <xf numFmtId="0" fontId="20" fillId="44" borderId="27" xfId="0" applyFont="1" applyFill="1" applyBorder="1" applyAlignment="1" applyProtection="1">
      <alignment horizontal="center" vertical="center"/>
    </xf>
    <xf numFmtId="0" fontId="21" fillId="44" borderId="47" xfId="0" applyFont="1" applyFill="1" applyBorder="1" applyAlignment="1" applyProtection="1">
      <alignment horizontal="center" vertical="center"/>
    </xf>
    <xf numFmtId="0" fontId="20" fillId="42" borderId="72" xfId="0" applyFont="1" applyFill="1" applyBorder="1" applyAlignment="1" applyProtection="1">
      <alignment horizontal="center" vertical="center"/>
    </xf>
    <xf numFmtId="0" fontId="20" fillId="42" borderId="73" xfId="0" applyFont="1" applyFill="1" applyBorder="1" applyAlignment="1" applyProtection="1">
      <alignment horizontal="center" vertical="center"/>
    </xf>
    <xf numFmtId="0" fontId="20" fillId="42" borderId="91" xfId="0" applyFont="1" applyFill="1" applyBorder="1" applyAlignment="1" applyProtection="1">
      <alignment horizontal="center" vertical="center"/>
    </xf>
    <xf numFmtId="0" fontId="21" fillId="42" borderId="35" xfId="0" applyFont="1" applyFill="1" applyBorder="1" applyAlignment="1" applyProtection="1">
      <alignment horizontal="center" vertical="center"/>
    </xf>
    <xf numFmtId="3" fontId="20" fillId="41" borderId="27" xfId="0" applyNumberFormat="1" applyFont="1" applyFill="1" applyBorder="1" applyAlignment="1" applyProtection="1">
      <alignment horizontal="center" vertical="center" wrapText="1"/>
      <protection locked="0"/>
    </xf>
    <xf numFmtId="3" fontId="20" fillId="41" borderId="56" xfId="0" applyNumberFormat="1" applyFont="1" applyFill="1" applyBorder="1" applyAlignment="1" applyProtection="1">
      <alignment horizontal="center" vertical="center" wrapText="1"/>
      <protection locked="0"/>
    </xf>
    <xf numFmtId="0" fontId="20" fillId="42" borderId="72" xfId="0" applyFont="1" applyFill="1" applyBorder="1" applyAlignment="1" applyProtection="1">
      <alignment horizontal="center"/>
    </xf>
    <xf numFmtId="0" fontId="20" fillId="42" borderId="73" xfId="0" applyFont="1" applyFill="1" applyBorder="1" applyAlignment="1" applyProtection="1">
      <alignment horizontal="center" wrapText="1"/>
    </xf>
    <xf numFmtId="0" fontId="20" fillId="42" borderId="73" xfId="0" applyFont="1" applyFill="1" applyBorder="1" applyAlignment="1" applyProtection="1">
      <alignment horizontal="center"/>
    </xf>
    <xf numFmtId="0" fontId="20" fillId="42" borderId="74" xfId="0" applyFont="1" applyFill="1" applyBorder="1" applyAlignment="1" applyProtection="1">
      <alignment horizontal="center" wrapText="1"/>
    </xf>
    <xf numFmtId="0" fontId="11" fillId="42" borderId="16" xfId="0" applyFont="1" applyFill="1" applyBorder="1" applyAlignment="1">
      <alignment vertical="center" wrapText="1"/>
    </xf>
    <xf numFmtId="0" fontId="11" fillId="42" borderId="18" xfId="0" applyFont="1" applyFill="1" applyBorder="1" applyAlignment="1">
      <alignment vertical="center" wrapText="1"/>
    </xf>
    <xf numFmtId="3" fontId="20" fillId="39" borderId="37" xfId="0" applyNumberFormat="1" applyFont="1" applyFill="1" applyBorder="1" applyAlignment="1" applyProtection="1">
      <alignment vertical="center"/>
    </xf>
    <xf numFmtId="167" fontId="20" fillId="39" borderId="38" xfId="0" applyNumberFormat="1" applyFont="1" applyFill="1" applyBorder="1" applyAlignment="1" applyProtection="1">
      <alignment vertical="center"/>
    </xf>
    <xf numFmtId="0" fontId="20" fillId="41" borderId="37" xfId="0" applyFont="1" applyFill="1" applyBorder="1" applyAlignment="1" applyProtection="1">
      <alignment vertical="center"/>
      <protection locked="0"/>
    </xf>
    <xf numFmtId="0" fontId="20" fillId="41" borderId="38" xfId="0" applyFont="1" applyFill="1" applyBorder="1" applyAlignment="1" applyProtection="1">
      <alignment vertical="center"/>
      <protection locked="0"/>
    </xf>
    <xf numFmtId="0" fontId="20" fillId="42" borderId="35" xfId="0" applyFont="1" applyFill="1" applyBorder="1" applyAlignment="1" applyProtection="1">
      <alignment horizontal="center" vertical="center" wrapText="1"/>
    </xf>
    <xf numFmtId="0" fontId="20" fillId="42" borderId="29" xfId="0" applyFont="1" applyFill="1" applyBorder="1" applyAlignment="1" applyProtection="1">
      <alignment horizontal="center" vertical="center"/>
    </xf>
    <xf numFmtId="0" fontId="20" fillId="42" borderId="0" xfId="0" applyFont="1" applyFill="1" applyBorder="1" applyAlignment="1" applyProtection="1">
      <alignment vertical="center"/>
      <protection locked="0"/>
    </xf>
    <xf numFmtId="0" fontId="21" fillId="39" borderId="39" xfId="0" applyFont="1" applyFill="1" applyBorder="1" applyAlignment="1" applyProtection="1">
      <alignment horizontal="center" vertical="center"/>
    </xf>
    <xf numFmtId="181" fontId="20" fillId="42" borderId="69" xfId="0" applyNumberFormat="1" applyFont="1" applyFill="1" applyBorder="1" applyAlignment="1" applyProtection="1">
      <alignment horizontal="center" vertical="center"/>
    </xf>
    <xf numFmtId="3" fontId="21" fillId="44" borderId="35" xfId="45" applyNumberFormat="1" applyFont="1" applyFill="1" applyBorder="1" applyAlignment="1" applyProtection="1">
      <alignment horizontal="center" vertical="center"/>
    </xf>
    <xf numFmtId="0" fontId="20" fillId="42" borderId="61" xfId="0" applyFont="1" applyFill="1" applyBorder="1" applyAlignment="1" applyProtection="1">
      <alignment vertical="center"/>
    </xf>
    <xf numFmtId="0" fontId="20" fillId="42" borderId="78" xfId="0" applyFont="1" applyFill="1" applyBorder="1" applyAlignment="1" applyProtection="1">
      <alignment vertical="center" wrapText="1"/>
    </xf>
    <xf numFmtId="0" fontId="20" fillId="42" borderId="71" xfId="0" applyFont="1" applyFill="1" applyBorder="1" applyAlignment="1" applyProtection="1">
      <alignment vertical="center"/>
    </xf>
    <xf numFmtId="181" fontId="20" fillId="42" borderId="10" xfId="0" applyNumberFormat="1" applyFont="1" applyFill="1" applyBorder="1" applyAlignment="1" applyProtection="1">
      <alignment horizontal="center" vertical="center"/>
    </xf>
    <xf numFmtId="0" fontId="20" fillId="42" borderId="69" xfId="0" applyFont="1" applyFill="1" applyBorder="1" applyAlignment="1" applyProtection="1">
      <alignment vertical="center" wrapText="1"/>
    </xf>
    <xf numFmtId="3" fontId="21" fillId="21" borderId="39" xfId="45" applyNumberFormat="1"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21" fillId="42" borderId="36" xfId="0" applyFont="1" applyFill="1" applyBorder="1" applyAlignment="1" applyProtection="1">
      <alignment horizontal="center" vertical="center"/>
    </xf>
    <xf numFmtId="0" fontId="21" fillId="42" borderId="33" xfId="0" applyFont="1" applyFill="1" applyBorder="1" applyAlignment="1" applyProtection="1">
      <alignment horizontal="center" vertical="center"/>
    </xf>
    <xf numFmtId="4" fontId="21" fillId="21" borderId="48" xfId="0" applyNumberFormat="1" applyFont="1" applyFill="1" applyBorder="1" applyAlignment="1" applyProtection="1">
      <alignment horizontal="center" vertical="center"/>
    </xf>
    <xf numFmtId="3" fontId="20" fillId="41" borderId="21" xfId="0" applyNumberFormat="1" applyFont="1" applyFill="1" applyBorder="1" applyAlignment="1" applyProtection="1">
      <alignment horizontal="center" vertical="center"/>
      <protection locked="0"/>
    </xf>
    <xf numFmtId="4" fontId="20" fillId="41" borderId="26" xfId="0" applyNumberFormat="1" applyFont="1" applyFill="1" applyBorder="1" applyAlignment="1" applyProtection="1">
      <alignment horizontal="center" vertical="center"/>
      <protection locked="0"/>
    </xf>
    <xf numFmtId="0" fontId="20" fillId="0" borderId="48" xfId="0" applyFont="1" applyFill="1" applyBorder="1" applyAlignment="1" applyProtection="1">
      <alignment horizontal="center" vertical="center"/>
    </xf>
    <xf numFmtId="4" fontId="20" fillId="44" borderId="37" xfId="0" applyNumberFormat="1" applyFont="1" applyFill="1" applyBorder="1" applyAlignment="1" applyProtection="1">
      <alignment horizontal="center" vertical="center"/>
    </xf>
    <xf numFmtId="4" fontId="20" fillId="44" borderId="12" xfId="0" applyNumberFormat="1" applyFont="1" applyFill="1" applyBorder="1" applyAlignment="1" applyProtection="1">
      <alignment horizontal="center" vertical="center"/>
    </xf>
    <xf numFmtId="4" fontId="20" fillId="44" borderId="34" xfId="0" applyNumberFormat="1" applyFont="1" applyFill="1" applyBorder="1" applyAlignment="1" applyProtection="1">
      <alignment horizontal="center" vertical="center"/>
    </xf>
    <xf numFmtId="4" fontId="20" fillId="44" borderId="35" xfId="0" applyNumberFormat="1" applyFont="1" applyFill="1" applyBorder="1" applyAlignment="1" applyProtection="1">
      <alignment horizontal="center" vertical="center"/>
    </xf>
    <xf numFmtId="0" fontId="21" fillId="22" borderId="57" xfId="0" applyFont="1" applyFill="1" applyBorder="1" applyAlignment="1" applyProtection="1">
      <alignment horizontal="center" vertical="center" wrapText="1"/>
      <protection hidden="1"/>
    </xf>
    <xf numFmtId="0" fontId="21" fillId="42" borderId="64" xfId="0" applyFont="1" applyFill="1" applyBorder="1" applyAlignment="1" applyProtection="1">
      <alignment horizontal="center" vertical="center"/>
    </xf>
    <xf numFmtId="0" fontId="20" fillId="42" borderId="0" xfId="0" applyFont="1" applyFill="1" applyBorder="1" applyProtection="1"/>
    <xf numFmtId="0" fontId="21" fillId="42" borderId="60" xfId="0" applyFont="1" applyFill="1" applyBorder="1" applyAlignment="1" applyProtection="1">
      <alignment horizontal="center" vertical="center"/>
    </xf>
    <xf numFmtId="167" fontId="21" fillId="39" borderId="35" xfId="0" applyNumberFormat="1" applyFont="1" applyFill="1" applyBorder="1" applyAlignment="1" applyProtection="1">
      <alignment horizontal="center" vertical="center"/>
    </xf>
    <xf numFmtId="3" fontId="21" fillId="39" borderId="35"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xf>
    <xf numFmtId="0" fontId="21" fillId="39" borderId="35" xfId="0" applyFont="1" applyFill="1" applyBorder="1" applyAlignment="1" applyProtection="1">
      <alignment horizontal="center" vertical="center"/>
    </xf>
    <xf numFmtId="181" fontId="20" fillId="42" borderId="20" xfId="0" applyNumberFormat="1" applyFont="1" applyFill="1" applyBorder="1" applyAlignment="1" applyProtection="1">
      <alignment horizontal="center" vertical="center"/>
    </xf>
    <xf numFmtId="1" fontId="20" fillId="41" borderId="21" xfId="0" applyNumberFormat="1" applyFont="1" applyFill="1" applyBorder="1" applyAlignment="1" applyProtection="1">
      <alignment horizontal="center" vertical="center"/>
      <protection locked="0"/>
    </xf>
    <xf numFmtId="167" fontId="20" fillId="41" borderId="11" xfId="0" applyNumberFormat="1" applyFont="1" applyFill="1" applyBorder="1" applyAlignment="1" applyProtection="1">
      <alignment horizontal="center" vertical="center"/>
      <protection locked="0"/>
    </xf>
    <xf numFmtId="0" fontId="20" fillId="41" borderId="0" xfId="0" applyFont="1" applyFill="1" applyBorder="1" applyProtection="1">
      <protection locked="0"/>
    </xf>
    <xf numFmtId="3" fontId="20" fillId="41" borderId="11" xfId="0" applyNumberFormat="1" applyFont="1" applyFill="1" applyBorder="1" applyAlignment="1" applyProtection="1">
      <alignment horizontal="center" vertical="center"/>
      <protection locked="0"/>
    </xf>
    <xf numFmtId="3" fontId="20" fillId="41" borderId="26" xfId="0" applyNumberFormat="1" applyFont="1" applyFill="1" applyBorder="1" applyAlignment="1" applyProtection="1">
      <alignment horizontal="center" vertical="center"/>
      <protection locked="0"/>
    </xf>
    <xf numFmtId="167" fontId="20" fillId="41" borderId="13" xfId="0" applyNumberFormat="1" applyFont="1" applyFill="1" applyBorder="1" applyAlignment="1" applyProtection="1">
      <alignment horizontal="center" vertical="center"/>
      <protection locked="0"/>
    </xf>
    <xf numFmtId="3" fontId="20" fillId="41" borderId="30" xfId="0" applyNumberFormat="1" applyFont="1" applyFill="1" applyBorder="1" applyAlignment="1" applyProtection="1">
      <alignment horizontal="center" vertical="center"/>
      <protection locked="0"/>
    </xf>
    <xf numFmtId="167" fontId="20" fillId="41" borderId="14" xfId="0" applyNumberFormat="1" applyFont="1" applyFill="1" applyBorder="1" applyAlignment="1" applyProtection="1">
      <alignment horizontal="center" vertical="center"/>
      <protection locked="0"/>
    </xf>
    <xf numFmtId="0" fontId="20" fillId="41" borderId="17" xfId="0" applyFont="1" applyFill="1" applyBorder="1" applyProtection="1">
      <protection locked="0"/>
    </xf>
    <xf numFmtId="3" fontId="20" fillId="41" borderId="14" xfId="0" applyNumberFormat="1" applyFont="1" applyFill="1" applyBorder="1" applyAlignment="1" applyProtection="1">
      <alignment horizontal="center" vertical="center"/>
      <protection locked="0"/>
    </xf>
    <xf numFmtId="3" fontId="20" fillId="41" borderId="38" xfId="0" applyNumberFormat="1" applyFont="1" applyFill="1" applyBorder="1" applyAlignment="1" applyProtection="1">
      <alignment horizontal="center" vertical="center"/>
      <protection locked="0"/>
    </xf>
    <xf numFmtId="0" fontId="148" fillId="0" borderId="0" xfId="0" applyFont="1" applyAlignment="1" applyProtection="1">
      <alignment horizontal="right"/>
    </xf>
    <xf numFmtId="165" fontId="148" fillId="0" borderId="0" xfId="0" applyNumberFormat="1" applyFont="1" applyProtection="1"/>
    <xf numFmtId="0" fontId="1" fillId="42" borderId="24" xfId="0" applyFont="1" applyFill="1" applyBorder="1" applyAlignment="1" applyProtection="1">
      <alignment horizontal="center" vertical="center"/>
    </xf>
    <xf numFmtId="0" fontId="1" fillId="42" borderId="60" xfId="0" applyFont="1" applyFill="1" applyBorder="1" applyAlignment="1" applyProtection="1">
      <alignment horizontal="center" vertical="center" wrapText="1"/>
    </xf>
    <xf numFmtId="3" fontId="20" fillId="44" borderId="13" xfId="45" applyNumberFormat="1" applyFont="1" applyFill="1" applyBorder="1" applyAlignment="1" applyProtection="1">
      <alignment horizontal="center" vertical="center"/>
    </xf>
    <xf numFmtId="4" fontId="20" fillId="44" borderId="13" xfId="45" applyNumberFormat="1" applyFont="1" applyFill="1" applyBorder="1" applyAlignment="1" applyProtection="1">
      <alignment horizontal="center" vertical="center"/>
    </xf>
    <xf numFmtId="3" fontId="20" fillId="44" borderId="15" xfId="45" applyNumberFormat="1" applyFont="1" applyFill="1" applyBorder="1" applyAlignment="1" applyProtection="1">
      <alignment horizontal="center" vertical="center"/>
    </xf>
    <xf numFmtId="4" fontId="20" fillId="44" borderId="15" xfId="45" applyNumberFormat="1" applyFont="1" applyFill="1" applyBorder="1" applyAlignment="1" applyProtection="1">
      <alignment horizontal="center" vertical="center"/>
    </xf>
    <xf numFmtId="3" fontId="20" fillId="44" borderId="14" xfId="45" applyNumberFormat="1" applyFont="1" applyFill="1" applyBorder="1" applyAlignment="1" applyProtection="1">
      <alignment horizontal="center" vertical="center"/>
    </xf>
    <xf numFmtId="4" fontId="20" fillId="44" borderId="14" xfId="45" applyNumberFormat="1" applyFont="1" applyFill="1" applyBorder="1" applyAlignment="1" applyProtection="1">
      <alignment horizontal="center" vertical="center"/>
    </xf>
    <xf numFmtId="0" fontId="20" fillId="42" borderId="72" xfId="0" applyFont="1" applyFill="1" applyBorder="1" applyAlignment="1" applyProtection="1">
      <alignment vertical="center"/>
    </xf>
    <xf numFmtId="0" fontId="20" fillId="42" borderId="73" xfId="0" applyFont="1" applyFill="1" applyBorder="1" applyAlignment="1" applyProtection="1">
      <alignment vertical="center"/>
    </xf>
    <xf numFmtId="3" fontId="20" fillId="44" borderId="68" xfId="45" applyNumberFormat="1" applyFont="1" applyFill="1" applyBorder="1" applyAlignment="1" applyProtection="1">
      <alignment horizontal="center" vertical="center"/>
    </xf>
    <xf numFmtId="3" fontId="20" fillId="44" borderId="27" xfId="45" applyNumberFormat="1" applyFont="1" applyFill="1" applyBorder="1" applyAlignment="1" applyProtection="1">
      <alignment horizontal="center" vertical="center"/>
    </xf>
    <xf numFmtId="3" fontId="20" fillId="44" borderId="56" xfId="45" applyNumberFormat="1" applyFont="1" applyFill="1" applyBorder="1" applyAlignment="1" applyProtection="1">
      <alignment horizontal="center" vertical="center"/>
    </xf>
    <xf numFmtId="4" fontId="20" fillId="44" borderId="37" xfId="45" applyNumberFormat="1" applyFont="1" applyFill="1" applyBorder="1" applyAlignment="1" applyProtection="1">
      <alignment horizontal="center" vertical="center"/>
    </xf>
    <xf numFmtId="4" fontId="20" fillId="44" borderId="30" xfId="45" applyNumberFormat="1" applyFont="1" applyFill="1" applyBorder="1" applyAlignment="1" applyProtection="1">
      <alignment horizontal="center" vertical="center"/>
    </xf>
    <xf numFmtId="4" fontId="20" fillId="44" borderId="38" xfId="45" applyNumberFormat="1" applyFont="1" applyFill="1" applyBorder="1" applyAlignment="1" applyProtection="1">
      <alignment horizontal="center" vertical="center"/>
    </xf>
    <xf numFmtId="2" fontId="21" fillId="21" borderId="39" xfId="45" applyNumberFormat="1" applyFont="1" applyFill="1" applyBorder="1" applyAlignment="1" applyProtection="1">
      <alignment horizontal="center" vertical="center"/>
    </xf>
    <xf numFmtId="2" fontId="21" fillId="21" borderId="35" xfId="45" applyNumberFormat="1" applyFont="1" applyFill="1" applyBorder="1" applyAlignment="1" applyProtection="1">
      <alignment horizontal="center" vertical="center"/>
    </xf>
    <xf numFmtId="2" fontId="21" fillId="21" borderId="57" xfId="0" applyNumberFormat="1" applyFont="1" applyFill="1" applyBorder="1" applyAlignment="1" applyProtection="1">
      <alignment horizontal="center" vertical="center"/>
    </xf>
    <xf numFmtId="2" fontId="21" fillId="21" borderId="35" xfId="0" applyNumberFormat="1" applyFont="1" applyFill="1" applyBorder="1" applyAlignment="1" applyProtection="1">
      <alignment horizontal="center" vertical="center"/>
    </xf>
    <xf numFmtId="0" fontId="21" fillId="42" borderId="71" xfId="0" applyFont="1" applyFill="1" applyBorder="1" applyAlignment="1" applyProtection="1">
      <alignment horizontal="left" vertical="center"/>
    </xf>
    <xf numFmtId="165" fontId="20" fillId="0" borderId="35" xfId="45" applyFont="1" applyFill="1" applyBorder="1" applyAlignment="1" applyProtection="1">
      <alignment horizontal="center" vertical="center"/>
    </xf>
    <xf numFmtId="0" fontId="20" fillId="41" borderId="68" xfId="0" applyFont="1" applyFill="1" applyBorder="1" applyAlignment="1" applyProtection="1">
      <alignment horizontal="center" vertical="center"/>
      <protection locked="0"/>
    </xf>
    <xf numFmtId="0" fontId="21" fillId="41" borderId="15" xfId="0" applyFont="1" applyFill="1" applyBorder="1" applyAlignment="1" applyProtection="1">
      <alignment horizontal="center" vertical="center"/>
      <protection locked="0"/>
    </xf>
    <xf numFmtId="3" fontId="20" fillId="41" borderId="15" xfId="45" applyNumberFormat="1" applyFont="1" applyFill="1" applyBorder="1" applyAlignment="1" applyProtection="1">
      <alignment horizontal="center" vertical="center"/>
      <protection locked="0"/>
    </xf>
    <xf numFmtId="0" fontId="20" fillId="41" borderId="27" xfId="0" applyFont="1" applyFill="1" applyBorder="1" applyAlignment="1" applyProtection="1">
      <alignment horizontal="center" vertical="center"/>
      <protection locked="0"/>
    </xf>
    <xf numFmtId="0" fontId="21" fillId="41" borderId="13" xfId="0" applyFont="1" applyFill="1" applyBorder="1" applyAlignment="1" applyProtection="1">
      <alignment horizontal="center" vertical="center"/>
      <protection locked="0"/>
    </xf>
    <xf numFmtId="3" fontId="20" fillId="41" borderId="13" xfId="45" applyNumberFormat="1" applyFont="1" applyFill="1" applyBorder="1" applyAlignment="1" applyProtection="1">
      <alignment horizontal="center" vertical="center"/>
      <protection locked="0"/>
    </xf>
    <xf numFmtId="0" fontId="20" fillId="41" borderId="56" xfId="0" applyFont="1" applyFill="1" applyBorder="1" applyAlignment="1" applyProtection="1">
      <alignment horizontal="center" vertical="center"/>
      <protection locked="0"/>
    </xf>
    <xf numFmtId="4" fontId="20" fillId="41" borderId="14" xfId="45" applyNumberFormat="1" applyFont="1" applyFill="1" applyBorder="1" applyAlignment="1" applyProtection="1">
      <alignment horizontal="center" vertical="center"/>
      <protection locked="0"/>
    </xf>
    <xf numFmtId="0" fontId="21" fillId="41" borderId="14" xfId="0" applyFont="1" applyFill="1" applyBorder="1" applyAlignment="1" applyProtection="1">
      <alignment horizontal="center" vertical="center"/>
      <protection locked="0"/>
    </xf>
    <xf numFmtId="3" fontId="20" fillId="41" borderId="14" xfId="45" applyNumberFormat="1" applyFont="1" applyFill="1" applyBorder="1" applyAlignment="1" applyProtection="1">
      <alignment horizontal="center" vertical="center"/>
      <protection locked="0"/>
    </xf>
    <xf numFmtId="0" fontId="20" fillId="41" borderId="73" xfId="0" applyFont="1" applyFill="1" applyBorder="1" applyAlignment="1" applyProtection="1">
      <alignment vertical="center"/>
      <protection locked="0"/>
    </xf>
    <xf numFmtId="0" fontId="20" fillId="41" borderId="74" xfId="0" applyFont="1" applyFill="1" applyBorder="1" applyAlignment="1" applyProtection="1">
      <alignment vertical="center"/>
      <protection locked="0"/>
    </xf>
    <xf numFmtId="0" fontId="20" fillId="41" borderId="38" xfId="0" applyFont="1" applyFill="1" applyBorder="1" applyAlignment="1" applyProtection="1">
      <alignment horizontal="center" vertical="center"/>
      <protection locked="0"/>
    </xf>
    <xf numFmtId="0" fontId="20" fillId="0" borderId="29" xfId="0" applyFont="1" applyBorder="1" applyProtection="1"/>
    <xf numFmtId="0" fontId="21" fillId="0" borderId="35" xfId="0" applyFont="1" applyFill="1" applyBorder="1" applyAlignment="1" applyProtection="1">
      <alignment vertical="center"/>
    </xf>
    <xf numFmtId="0" fontId="20" fillId="41" borderId="19" xfId="0" applyFont="1" applyFill="1" applyBorder="1" applyProtection="1">
      <protection locked="0"/>
    </xf>
    <xf numFmtId="0" fontId="20" fillId="41" borderId="11" xfId="0" applyFont="1" applyFill="1" applyBorder="1" applyAlignment="1" applyProtection="1">
      <alignment horizontal="center" vertical="center"/>
      <protection locked="0"/>
    </xf>
    <xf numFmtId="0" fontId="20" fillId="41" borderId="13" xfId="0" applyFont="1" applyFill="1" applyBorder="1" applyAlignment="1" applyProtection="1">
      <alignment horizontal="center" vertical="center"/>
      <protection locked="0"/>
    </xf>
    <xf numFmtId="167" fontId="20" fillId="42" borderId="26" xfId="0" applyNumberFormat="1" applyFont="1" applyFill="1" applyBorder="1" applyAlignment="1" applyProtection="1">
      <alignment horizontal="center" vertical="center"/>
    </xf>
    <xf numFmtId="0" fontId="20" fillId="44" borderId="35" xfId="0" applyFont="1" applyFill="1" applyBorder="1" applyAlignment="1" applyProtection="1">
      <alignment horizontal="center" vertical="center"/>
    </xf>
    <xf numFmtId="0" fontId="1" fillId="42" borderId="28" xfId="0" applyFont="1" applyFill="1" applyBorder="1" applyAlignment="1" applyProtection="1">
      <alignment horizontal="center" vertical="center"/>
    </xf>
    <xf numFmtId="0" fontId="1" fillId="42" borderId="28" xfId="0" applyFont="1" applyFill="1" applyBorder="1" applyAlignment="1" applyProtection="1">
      <alignment horizontal="center" vertical="center" wrapText="1"/>
    </xf>
    <xf numFmtId="0" fontId="1" fillId="42" borderId="48" xfId="0" applyFont="1" applyFill="1" applyBorder="1" applyAlignment="1" applyProtection="1">
      <alignment horizontal="center" vertical="center" wrapText="1"/>
    </xf>
    <xf numFmtId="0" fontId="21" fillId="39" borderId="54" xfId="0" applyFont="1" applyFill="1" applyBorder="1" applyAlignment="1" applyProtection="1">
      <alignment horizontal="right" vertical="center"/>
    </xf>
    <xf numFmtId="0" fontId="20" fillId="41" borderId="18" xfId="0" applyFont="1" applyFill="1" applyBorder="1" applyProtection="1">
      <protection locked="0"/>
    </xf>
    <xf numFmtId="0" fontId="20" fillId="41" borderId="14" xfId="0" applyFont="1" applyFill="1" applyBorder="1" applyAlignment="1" applyProtection="1">
      <alignment horizontal="center" vertical="center"/>
      <protection locked="0"/>
    </xf>
    <xf numFmtId="167" fontId="20" fillId="42" borderId="76" xfId="0" applyNumberFormat="1" applyFont="1" applyFill="1" applyBorder="1" applyAlignment="1" applyProtection="1">
      <alignment horizontal="center" vertical="center"/>
    </xf>
    <xf numFmtId="165" fontId="20" fillId="44" borderId="40" xfId="45" applyFont="1" applyFill="1" applyBorder="1" applyAlignment="1" applyProtection="1">
      <alignment horizontal="center" vertical="center"/>
    </xf>
    <xf numFmtId="0" fontId="20" fillId="41" borderId="21" xfId="0" applyFont="1" applyFill="1" applyBorder="1" applyProtection="1">
      <protection locked="0"/>
    </xf>
    <xf numFmtId="165" fontId="20" fillId="41" borderId="11" xfId="45" applyFont="1" applyFill="1" applyBorder="1" applyAlignment="1" applyProtection="1">
      <alignment horizontal="center" vertical="center"/>
      <protection locked="0"/>
    </xf>
    <xf numFmtId="165" fontId="20" fillId="41" borderId="13" xfId="45" applyFont="1" applyFill="1" applyBorder="1" applyAlignment="1" applyProtection="1">
      <alignment horizontal="center" vertical="center"/>
      <protection locked="0"/>
    </xf>
    <xf numFmtId="0" fontId="1" fillId="42" borderId="24" xfId="0" applyFont="1" applyFill="1" applyBorder="1" applyAlignment="1" applyProtection="1">
      <alignment horizontal="center" vertical="center" wrapText="1"/>
    </xf>
    <xf numFmtId="0" fontId="1" fillId="42" borderId="25" xfId="0" applyFont="1" applyFill="1" applyBorder="1" applyAlignment="1" applyProtection="1">
      <alignment horizontal="center" vertical="center" wrapText="1"/>
    </xf>
    <xf numFmtId="165" fontId="20" fillId="41" borderId="14" xfId="45" applyFont="1" applyFill="1" applyBorder="1" applyAlignment="1" applyProtection="1">
      <alignment horizontal="center" vertical="center"/>
      <protection locked="0"/>
    </xf>
    <xf numFmtId="165" fontId="20" fillId="44" borderId="41" xfId="45" applyFont="1" applyFill="1" applyBorder="1" applyAlignment="1" applyProtection="1">
      <alignment horizontal="center" vertical="center"/>
    </xf>
    <xf numFmtId="165" fontId="21" fillId="21" borderId="29" xfId="45" applyFont="1" applyFill="1" applyBorder="1" applyAlignment="1" applyProtection="1">
      <alignment horizontal="center" vertical="center"/>
    </xf>
    <xf numFmtId="0" fontId="20" fillId="0" borderId="44" xfId="0" applyFont="1" applyFill="1" applyBorder="1" applyProtection="1"/>
    <xf numFmtId="165" fontId="20" fillId="44" borderId="20" xfId="45" applyFont="1" applyFill="1" applyBorder="1" applyAlignment="1" applyProtection="1">
      <alignment horizontal="center" vertical="center"/>
    </xf>
    <xf numFmtId="168" fontId="61" fillId="18" borderId="27" xfId="0" applyNumberFormat="1" applyFont="1" applyFill="1" applyBorder="1" applyProtection="1"/>
    <xf numFmtId="0" fontId="62" fillId="0" borderId="27" xfId="0" applyFont="1" applyBorder="1" applyProtection="1"/>
    <xf numFmtId="168" fontId="48" fillId="18" borderId="27" xfId="0" applyNumberFormat="1" applyFont="1" applyFill="1" applyBorder="1" applyProtection="1"/>
    <xf numFmtId="165" fontId="20" fillId="44" borderId="54" xfId="45" applyFont="1" applyFill="1" applyBorder="1" applyAlignment="1" applyProtection="1">
      <alignment horizontal="center" vertical="center"/>
    </xf>
    <xf numFmtId="165" fontId="20" fillId="44" borderId="39" xfId="45" applyFont="1" applyFill="1" applyBorder="1" applyAlignment="1" applyProtection="1">
      <alignment horizontal="center" vertical="center"/>
    </xf>
    <xf numFmtId="165" fontId="20" fillId="44" borderId="35" xfId="45" applyFont="1" applyFill="1" applyBorder="1" applyAlignment="1" applyProtection="1">
      <alignment horizontal="center" vertical="center"/>
    </xf>
    <xf numFmtId="0" fontId="20" fillId="44" borderId="20" xfId="0" applyFont="1" applyFill="1" applyBorder="1" applyAlignment="1" applyProtection="1">
      <alignment horizontal="left" vertical="center"/>
    </xf>
    <xf numFmtId="0" fontId="20" fillId="42" borderId="24" xfId="0" applyFont="1" applyFill="1" applyBorder="1" applyAlignment="1" applyProtection="1">
      <alignment horizontal="center" vertical="center"/>
    </xf>
    <xf numFmtId="0" fontId="11" fillId="22" borderId="27" xfId="0" applyFont="1" applyFill="1" applyBorder="1" applyAlignment="1" applyProtection="1">
      <alignment horizontal="center" vertical="center"/>
      <protection hidden="1"/>
    </xf>
    <xf numFmtId="0" fontId="11" fillId="41" borderId="40" xfId="0" applyFont="1" applyFill="1" applyBorder="1" applyAlignment="1" applyProtection="1">
      <alignment horizontal="center" vertical="center"/>
      <protection locked="0"/>
    </xf>
    <xf numFmtId="1" fontId="25" fillId="22" borderId="13" xfId="0" applyNumberFormat="1" applyFont="1" applyFill="1" applyBorder="1" applyAlignment="1" applyProtection="1">
      <alignment horizontal="center" vertical="center"/>
      <protection hidden="1"/>
    </xf>
    <xf numFmtId="0" fontId="11" fillId="22" borderId="56" xfId="0" applyFont="1" applyFill="1" applyBorder="1" applyAlignment="1" applyProtection="1">
      <alignment horizontal="center" vertical="center"/>
      <protection hidden="1"/>
    </xf>
    <xf numFmtId="0" fontId="11" fillId="41" borderId="41" xfId="0" applyFont="1" applyFill="1" applyBorder="1" applyAlignment="1" applyProtection="1">
      <alignment horizontal="center" vertical="center"/>
      <protection locked="0"/>
    </xf>
    <xf numFmtId="1" fontId="25" fillId="22" borderId="14" xfId="0" applyNumberFormat="1" applyFont="1" applyFill="1" applyBorder="1" applyAlignment="1" applyProtection="1">
      <alignment horizontal="center" vertical="center"/>
      <protection hidden="1"/>
    </xf>
    <xf numFmtId="165" fontId="11" fillId="44" borderId="30" xfId="0" applyNumberFormat="1" applyFont="1" applyFill="1" applyBorder="1" applyAlignment="1" applyProtection="1">
      <alignment horizontal="center" vertical="center"/>
      <protection hidden="1"/>
    </xf>
    <xf numFmtId="165" fontId="11" fillId="44" borderId="38" xfId="0" applyNumberFormat="1" applyFont="1" applyFill="1" applyBorder="1" applyAlignment="1" applyProtection="1">
      <alignment horizontal="center" vertical="center"/>
      <protection hidden="1"/>
    </xf>
    <xf numFmtId="1" fontId="22" fillId="0" borderId="0" xfId="0" applyNumberFormat="1" applyFont="1" applyBorder="1" applyProtection="1">
      <protection hidden="1"/>
    </xf>
    <xf numFmtId="0" fontId="11" fillId="22" borderId="58" xfId="0" applyFont="1" applyFill="1" applyBorder="1" applyAlignment="1" applyProtection="1">
      <alignment horizontal="center" vertical="center"/>
      <protection hidden="1"/>
    </xf>
    <xf numFmtId="0" fontId="11" fillId="41" borderId="42" xfId="0" applyFont="1" applyFill="1" applyBorder="1" applyAlignment="1" applyProtection="1">
      <alignment horizontal="center" vertical="center"/>
      <protection locked="0"/>
    </xf>
    <xf numFmtId="1" fontId="25" fillId="22" borderId="11" xfId="0" applyNumberFormat="1" applyFont="1" applyFill="1" applyBorder="1" applyAlignment="1" applyProtection="1">
      <alignment horizontal="center" vertical="center"/>
    </xf>
    <xf numFmtId="165" fontId="11" fillId="44" borderId="26" xfId="0" applyNumberFormat="1" applyFont="1" applyFill="1" applyBorder="1" applyAlignment="1" applyProtection="1">
      <alignment horizontal="center" vertical="center"/>
      <protection hidden="1"/>
    </xf>
    <xf numFmtId="0" fontId="21" fillId="22" borderId="24" xfId="0" applyFont="1" applyFill="1" applyBorder="1" applyAlignment="1" applyProtection="1">
      <alignment horizontal="center" vertical="center" wrapText="1"/>
      <protection hidden="1"/>
    </xf>
    <xf numFmtId="0" fontId="21" fillId="22" borderId="25" xfId="0" applyFont="1" applyFill="1" applyBorder="1" applyAlignment="1" applyProtection="1">
      <alignment horizontal="center" vertical="center" wrapText="1"/>
      <protection hidden="1"/>
    </xf>
    <xf numFmtId="0" fontId="22" fillId="22" borderId="28" xfId="0" applyFont="1" applyFill="1" applyBorder="1" applyAlignment="1" applyProtection="1">
      <alignment horizontal="center" vertical="center" wrapText="1"/>
      <protection hidden="1"/>
    </xf>
    <xf numFmtId="0" fontId="21" fillId="42" borderId="48" xfId="0" applyFont="1" applyFill="1" applyBorder="1" applyAlignment="1" applyProtection="1">
      <alignment horizontal="center" vertical="center" wrapText="1"/>
      <protection hidden="1"/>
    </xf>
    <xf numFmtId="0" fontId="21" fillId="18" borderId="0" xfId="0" applyFont="1" applyFill="1" applyBorder="1" applyAlignment="1" applyProtection="1">
      <alignment horizontal="center" vertical="center"/>
      <protection hidden="1"/>
    </xf>
    <xf numFmtId="3" fontId="11" fillId="44" borderId="81" xfId="0" applyNumberFormat="1" applyFont="1" applyFill="1" applyBorder="1" applyAlignment="1" applyProtection="1">
      <alignment horizontal="center" vertical="center"/>
      <protection hidden="1"/>
    </xf>
    <xf numFmtId="3" fontId="11" fillId="44" borderId="62" xfId="0" applyNumberFormat="1" applyFont="1" applyFill="1" applyBorder="1" applyAlignment="1" applyProtection="1">
      <alignment horizontal="center" vertical="center"/>
      <protection hidden="1"/>
    </xf>
    <xf numFmtId="3" fontId="11" fillId="44" borderId="55" xfId="0" applyNumberFormat="1" applyFont="1" applyFill="1" applyBorder="1" applyAlignment="1" applyProtection="1">
      <alignment horizontal="center" vertical="center"/>
      <protection hidden="1"/>
    </xf>
    <xf numFmtId="0" fontId="21" fillId="22" borderId="28" xfId="0" applyFont="1" applyFill="1" applyBorder="1" applyAlignment="1" applyProtection="1">
      <alignment horizontal="center" vertical="center" wrapText="1"/>
      <protection hidden="1"/>
    </xf>
    <xf numFmtId="0" fontId="21" fillId="22" borderId="48" xfId="0" applyFont="1" applyFill="1" applyBorder="1" applyAlignment="1" applyProtection="1">
      <alignment horizontal="center" vertical="center" wrapText="1"/>
      <protection hidden="1"/>
    </xf>
    <xf numFmtId="3" fontId="11" fillId="41" borderId="11" xfId="0" applyNumberFormat="1" applyFont="1" applyFill="1" applyBorder="1" applyAlignment="1" applyProtection="1">
      <alignment horizontal="center"/>
      <protection locked="0"/>
    </xf>
    <xf numFmtId="3" fontId="11" fillId="41" borderId="13" xfId="0" applyNumberFormat="1" applyFont="1" applyFill="1" applyBorder="1" applyAlignment="1" applyProtection="1">
      <alignment horizontal="center"/>
      <protection locked="0"/>
    </xf>
    <xf numFmtId="0" fontId="21" fillId="0" borderId="0" xfId="0" applyFont="1" applyFill="1" applyBorder="1" applyAlignment="1" applyProtection="1">
      <alignment vertical="center"/>
      <protection hidden="1"/>
    </xf>
    <xf numFmtId="165" fontId="21" fillId="21" borderId="54" xfId="45" applyFont="1" applyFill="1" applyBorder="1" applyAlignment="1" applyProtection="1">
      <alignment horizontal="center" vertical="center"/>
      <protection hidden="1"/>
    </xf>
    <xf numFmtId="3" fontId="11" fillId="41" borderId="14" xfId="0" applyNumberFormat="1" applyFont="1" applyFill="1" applyBorder="1" applyAlignment="1" applyProtection="1">
      <alignment horizontal="center"/>
      <protection locked="0"/>
    </xf>
    <xf numFmtId="0" fontId="21" fillId="44" borderId="35" xfId="0" applyFont="1" applyFill="1" applyBorder="1" applyAlignment="1" applyProtection="1">
      <alignment horizontal="center" vertical="center"/>
      <protection hidden="1"/>
    </xf>
    <xf numFmtId="0" fontId="21" fillId="44" borderId="54" xfId="0" applyFont="1" applyFill="1" applyBorder="1" applyAlignment="1" applyProtection="1">
      <alignment horizontal="center" vertical="center"/>
      <protection hidden="1"/>
    </xf>
    <xf numFmtId="165" fontId="11" fillId="41" borderId="85" xfId="45" applyFont="1" applyFill="1" applyBorder="1" applyAlignment="1" applyProtection="1">
      <alignment horizontal="center" vertical="center"/>
      <protection locked="0" hidden="1"/>
    </xf>
    <xf numFmtId="165" fontId="11" fillId="41" borderId="92" xfId="45" applyFont="1" applyFill="1" applyBorder="1" applyAlignment="1" applyProtection="1">
      <alignment horizontal="center" vertical="center"/>
      <protection locked="0" hidden="1"/>
    </xf>
    <xf numFmtId="165" fontId="11" fillId="41" borderId="97" xfId="45" applyFont="1" applyFill="1" applyBorder="1" applyAlignment="1" applyProtection="1">
      <alignment horizontal="center" vertical="center"/>
      <protection locked="0" hidden="1"/>
    </xf>
    <xf numFmtId="3" fontId="21" fillId="44" borderId="54" xfId="0" applyNumberFormat="1" applyFont="1" applyFill="1" applyBorder="1" applyAlignment="1" applyProtection="1">
      <alignment horizontal="center" vertical="center"/>
      <protection hidden="1"/>
    </xf>
    <xf numFmtId="165" fontId="21" fillId="21" borderId="35" xfId="0" applyNumberFormat="1" applyFont="1" applyFill="1" applyBorder="1" applyAlignment="1" applyProtection="1">
      <alignment vertical="center"/>
      <protection hidden="1"/>
    </xf>
    <xf numFmtId="0" fontId="0" fillId="18" borderId="31" xfId="0" applyFill="1" applyBorder="1" applyProtection="1">
      <protection hidden="1"/>
    </xf>
    <xf numFmtId="0" fontId="22" fillId="18" borderId="0" xfId="0" applyFont="1" applyFill="1" applyBorder="1" applyProtection="1">
      <protection hidden="1"/>
    </xf>
    <xf numFmtId="0" fontId="21" fillId="42" borderId="28" xfId="0" applyFont="1" applyFill="1" applyBorder="1" applyAlignment="1" applyProtection="1">
      <alignment horizontal="center" vertical="center"/>
      <protection hidden="1"/>
    </xf>
    <xf numFmtId="165" fontId="11" fillId="41" borderId="13" xfId="45" applyFont="1" applyFill="1" applyBorder="1" applyAlignment="1" applyProtection="1">
      <alignment horizontal="left" vertical="center"/>
      <protection locked="0"/>
    </xf>
    <xf numFmtId="165" fontId="11" fillId="41" borderId="38" xfId="45" applyFont="1" applyFill="1" applyBorder="1" applyProtection="1">
      <protection locked="0"/>
    </xf>
    <xf numFmtId="165" fontId="11" fillId="41" borderId="30" xfId="45" applyFont="1" applyFill="1" applyBorder="1" applyProtection="1">
      <protection locked="0"/>
    </xf>
    <xf numFmtId="165" fontId="11" fillId="41" borderId="37" xfId="45" applyFont="1" applyFill="1" applyBorder="1" applyProtection="1">
      <protection locked="0"/>
    </xf>
    <xf numFmtId="165" fontId="11" fillId="41" borderId="14" xfId="45" applyFont="1" applyFill="1" applyBorder="1" applyAlignment="1" applyProtection="1">
      <alignment horizontal="left" vertical="center"/>
      <protection locked="0"/>
    </xf>
    <xf numFmtId="165" fontId="11" fillId="44" borderId="15" xfId="0" applyNumberFormat="1" applyFont="1" applyFill="1" applyBorder="1" applyAlignment="1" applyProtection="1">
      <alignment horizontal="center"/>
      <protection hidden="1"/>
    </xf>
    <xf numFmtId="165" fontId="11" fillId="44" borderId="13" xfId="0" applyNumberFormat="1" applyFont="1" applyFill="1" applyBorder="1" applyAlignment="1" applyProtection="1">
      <alignment horizontal="center"/>
      <protection hidden="1"/>
    </xf>
    <xf numFmtId="165" fontId="11" fillId="44" borderId="14" xfId="0" applyNumberFormat="1" applyFont="1" applyFill="1" applyBorder="1" applyAlignment="1" applyProtection="1">
      <alignment horizontal="center"/>
      <protection hidden="1"/>
    </xf>
    <xf numFmtId="165" fontId="1" fillId="24" borderId="85" xfId="45" applyFont="1" applyFill="1" applyBorder="1" applyProtection="1">
      <protection hidden="1"/>
    </xf>
    <xf numFmtId="165" fontId="21" fillId="21" borderId="54" xfId="45" applyFont="1" applyFill="1" applyBorder="1" applyAlignment="1" applyProtection="1">
      <alignment vertical="center"/>
      <protection hidden="1"/>
    </xf>
    <xf numFmtId="165" fontId="11" fillId="41" borderId="13" xfId="45" applyFont="1" applyFill="1" applyBorder="1" applyAlignment="1" applyProtection="1">
      <alignment horizontal="center" vertical="center"/>
      <protection locked="0"/>
    </xf>
    <xf numFmtId="0" fontId="11" fillId="41" borderId="13" xfId="0" applyFont="1" applyFill="1" applyBorder="1" applyAlignment="1" applyProtection="1">
      <alignment horizontal="center" vertical="center"/>
      <protection locked="0"/>
    </xf>
    <xf numFmtId="0" fontId="11" fillId="22" borderId="13" xfId="0" applyFont="1" applyFill="1" applyBorder="1" applyAlignment="1" applyProtection="1">
      <alignment horizontal="center" vertical="center"/>
      <protection hidden="1"/>
    </xf>
    <xf numFmtId="0" fontId="11" fillId="22" borderId="13" xfId="0" applyFont="1" applyFill="1" applyBorder="1" applyAlignment="1" applyProtection="1">
      <alignment horizontal="center" vertical="center" wrapText="1"/>
      <protection hidden="1"/>
    </xf>
    <xf numFmtId="0" fontId="11" fillId="41" borderId="14" xfId="0" applyFont="1" applyFill="1" applyBorder="1" applyAlignment="1" applyProtection="1">
      <alignment horizontal="center" vertical="center"/>
      <protection locked="0"/>
    </xf>
    <xf numFmtId="0" fontId="21" fillId="39" borderId="35" xfId="0" applyFont="1" applyFill="1" applyBorder="1" applyAlignment="1" applyProtection="1">
      <alignment horizontal="center" vertical="center"/>
      <protection hidden="1"/>
    </xf>
    <xf numFmtId="0" fontId="21" fillId="42" borderId="28"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right" vertical="center"/>
    </xf>
    <xf numFmtId="0" fontId="20" fillId="42" borderId="73" xfId="0" applyFont="1" applyFill="1" applyBorder="1" applyAlignment="1" applyProtection="1">
      <alignment vertical="center"/>
      <protection locked="0"/>
    </xf>
    <xf numFmtId="0" fontId="20" fillId="22" borderId="73" xfId="0" applyFont="1" applyFill="1" applyBorder="1" applyAlignment="1" applyProtection="1">
      <alignment vertical="center"/>
    </xf>
    <xf numFmtId="0" fontId="11" fillId="0" borderId="13" xfId="0" applyFont="1" applyFill="1" applyBorder="1" applyAlignment="1" applyProtection="1">
      <alignment vertical="center"/>
    </xf>
    <xf numFmtId="0" fontId="11" fillId="0" borderId="30" xfId="0" applyFont="1" applyFill="1" applyBorder="1" applyAlignment="1" applyProtection="1">
      <alignment vertical="center"/>
    </xf>
    <xf numFmtId="0" fontId="11" fillId="24" borderId="79" xfId="0" applyFont="1" applyFill="1" applyBorder="1" applyAlignment="1" applyProtection="1">
      <alignment vertical="center"/>
    </xf>
    <xf numFmtId="165" fontId="11" fillId="24" borderId="79" xfId="45" applyFont="1" applyFill="1" applyBorder="1" applyAlignment="1" applyProtection="1">
      <alignment horizontal="center" vertical="center"/>
    </xf>
    <xf numFmtId="165" fontId="11" fillId="24" borderId="59" xfId="45" applyFont="1" applyFill="1" applyBorder="1" applyAlignment="1" applyProtection="1">
      <alignment vertical="center"/>
    </xf>
    <xf numFmtId="165" fontId="11" fillId="24" borderId="23" xfId="45" applyFont="1" applyFill="1" applyBorder="1" applyAlignment="1" applyProtection="1">
      <alignment vertical="center"/>
    </xf>
    <xf numFmtId="165" fontId="11" fillId="24" borderId="34" xfId="45" applyFont="1" applyFill="1" applyBorder="1" applyAlignment="1" applyProtection="1">
      <alignment vertical="center"/>
    </xf>
    <xf numFmtId="0" fontId="20" fillId="41" borderId="72" xfId="0" applyFont="1" applyFill="1" applyBorder="1" applyAlignment="1" applyProtection="1">
      <alignment vertical="center"/>
      <protection locked="0"/>
    </xf>
    <xf numFmtId="165" fontId="11" fillId="41" borderId="72" xfId="45" applyFont="1" applyFill="1" applyBorder="1" applyAlignment="1" applyProtection="1">
      <alignment horizontal="center" vertical="center"/>
      <protection locked="0"/>
    </xf>
    <xf numFmtId="1" fontId="11" fillId="41" borderId="68" xfId="0" applyNumberFormat="1" applyFont="1" applyFill="1" applyBorder="1" applyAlignment="1" applyProtection="1">
      <alignment horizontal="center" vertical="center"/>
      <protection locked="0"/>
    </xf>
    <xf numFmtId="1" fontId="11" fillId="41" borderId="15" xfId="0" applyNumberFormat="1" applyFont="1" applyFill="1" applyBorder="1" applyAlignment="1" applyProtection="1">
      <alignment horizontal="center" vertical="center"/>
      <protection locked="0"/>
    </xf>
    <xf numFmtId="1" fontId="11" fillId="41" borderId="37" xfId="0" applyNumberFormat="1" applyFont="1" applyFill="1" applyBorder="1" applyAlignment="1" applyProtection="1">
      <alignment horizontal="center" vertical="center"/>
      <protection locked="0"/>
    </xf>
    <xf numFmtId="165" fontId="11" fillId="41" borderId="73" xfId="45" applyFont="1" applyFill="1" applyBorder="1" applyAlignment="1" applyProtection="1">
      <alignment horizontal="center" vertical="center"/>
      <protection locked="0"/>
    </xf>
    <xf numFmtId="165" fontId="1" fillId="39" borderId="35" xfId="45" applyFont="1" applyFill="1" applyBorder="1" applyAlignment="1" applyProtection="1">
      <alignment horizontal="center" vertical="center"/>
    </xf>
    <xf numFmtId="0" fontId="11" fillId="42" borderId="28" xfId="0" applyFont="1" applyFill="1" applyBorder="1" applyAlignment="1" applyProtection="1">
      <alignment horizontal="center" vertical="center"/>
    </xf>
    <xf numFmtId="0" fontId="64" fillId="42" borderId="28" xfId="0" applyFont="1" applyFill="1" applyBorder="1" applyAlignment="1" applyProtection="1">
      <alignment horizontal="center" vertical="center"/>
    </xf>
    <xf numFmtId="0" fontId="64" fillId="42" borderId="25" xfId="0" applyFont="1" applyFill="1" applyBorder="1" applyAlignment="1" applyProtection="1">
      <alignment horizontal="center" vertical="center"/>
    </xf>
    <xf numFmtId="0" fontId="64" fillId="42" borderId="48" xfId="0" applyFont="1" applyFill="1" applyBorder="1" applyAlignment="1" applyProtection="1">
      <alignment horizontal="center" vertical="center"/>
    </xf>
    <xf numFmtId="165" fontId="11" fillId="44" borderId="73" xfId="45" applyFont="1" applyFill="1" applyBorder="1" applyAlignment="1" applyProtection="1">
      <alignment horizontal="center" vertical="center"/>
    </xf>
    <xf numFmtId="165" fontId="149" fillId="44" borderId="27" xfId="45" applyFont="1" applyFill="1" applyBorder="1" applyAlignment="1" applyProtection="1">
      <alignment vertical="center"/>
    </xf>
    <xf numFmtId="165" fontId="11" fillId="44" borderId="13" xfId="45" applyFont="1" applyFill="1" applyBorder="1" applyAlignment="1" applyProtection="1">
      <alignment vertical="center"/>
    </xf>
    <xf numFmtId="0" fontId="11" fillId="44" borderId="13" xfId="0" applyFont="1" applyFill="1" applyBorder="1" applyAlignment="1" applyProtection="1">
      <alignment vertical="center"/>
    </xf>
    <xf numFmtId="165" fontId="11" fillId="44" borderId="47" xfId="45" applyFont="1" applyFill="1" applyBorder="1" applyAlignment="1" applyProtection="1">
      <alignment vertical="center"/>
    </xf>
    <xf numFmtId="165" fontId="11" fillId="44" borderId="28" xfId="45" applyFont="1" applyFill="1" applyBorder="1" applyAlignment="1" applyProtection="1">
      <alignment vertical="center"/>
    </xf>
    <xf numFmtId="165" fontId="11" fillId="44" borderId="48" xfId="45" applyFont="1" applyFill="1" applyBorder="1" applyAlignment="1" applyProtection="1">
      <alignment vertical="center"/>
    </xf>
    <xf numFmtId="0" fontId="26" fillId="18" borderId="44" xfId="0" applyFont="1" applyFill="1" applyBorder="1" applyAlignment="1" applyProtection="1">
      <alignment horizontal="center"/>
    </xf>
    <xf numFmtId="3" fontId="147" fillId="41" borderId="58" xfId="0" applyNumberFormat="1" applyFont="1" applyFill="1" applyBorder="1" applyAlignment="1" applyProtection="1">
      <alignment horizontal="center" vertical="center"/>
      <protection locked="0"/>
    </xf>
    <xf numFmtId="3" fontId="147" fillId="41" borderId="27" xfId="0" applyNumberFormat="1" applyFont="1" applyFill="1" applyBorder="1" applyAlignment="1" applyProtection="1">
      <alignment horizontal="center" vertical="center"/>
      <protection locked="0"/>
    </xf>
    <xf numFmtId="3" fontId="147" fillId="41" borderId="59" xfId="0" applyNumberFormat="1" applyFont="1" applyFill="1" applyBorder="1" applyAlignment="1" applyProtection="1">
      <alignment horizontal="center" vertical="center"/>
      <protection locked="0"/>
    </xf>
    <xf numFmtId="0" fontId="147" fillId="41" borderId="73" xfId="0" applyFont="1" applyFill="1" applyBorder="1" applyAlignment="1" applyProtection="1">
      <alignment horizontal="center" vertical="center"/>
      <protection locked="0"/>
    </xf>
    <xf numFmtId="0" fontId="147" fillId="41" borderId="77" xfId="0" applyFont="1" applyFill="1" applyBorder="1" applyAlignment="1" applyProtection="1">
      <alignment horizontal="center" vertical="center"/>
      <protection locked="0"/>
    </xf>
    <xf numFmtId="17" fontId="27" fillId="22" borderId="47" xfId="0" quotePrefix="1" applyNumberFormat="1" applyFont="1" applyFill="1" applyBorder="1" applyAlignment="1" applyProtection="1">
      <alignment horizontal="center" vertical="center"/>
    </xf>
    <xf numFmtId="17" fontId="27" fillId="22" borderId="25" xfId="0" quotePrefix="1" applyNumberFormat="1" applyFont="1" applyFill="1" applyBorder="1" applyAlignment="1" applyProtection="1">
      <alignment horizontal="center" vertical="center"/>
    </xf>
    <xf numFmtId="3" fontId="147" fillId="41" borderId="42" xfId="0" applyNumberFormat="1" applyFont="1" applyFill="1" applyBorder="1" applyAlignment="1" applyProtection="1">
      <alignment horizontal="center" vertical="center"/>
      <protection locked="0"/>
    </xf>
    <xf numFmtId="3" fontId="147" fillId="41" borderId="40" xfId="0" applyNumberFormat="1" applyFont="1" applyFill="1" applyBorder="1" applyAlignment="1" applyProtection="1">
      <alignment horizontal="center" vertical="center"/>
      <protection locked="0"/>
    </xf>
    <xf numFmtId="3" fontId="147" fillId="41" borderId="43" xfId="0" applyNumberFormat="1" applyFont="1" applyFill="1" applyBorder="1" applyAlignment="1" applyProtection="1">
      <alignment horizontal="center" vertical="center"/>
      <protection locked="0"/>
    </xf>
    <xf numFmtId="3" fontId="1" fillId="39" borderId="35" xfId="45" applyNumberFormat="1" applyFont="1" applyFill="1" applyBorder="1" applyAlignment="1" applyProtection="1">
      <alignment horizontal="center" vertical="center"/>
    </xf>
    <xf numFmtId="3" fontId="2" fillId="44" borderId="77" xfId="45" applyNumberFormat="1" applyFont="1" applyFill="1" applyBorder="1" applyAlignment="1" applyProtection="1">
      <alignment horizontal="center" vertical="center"/>
    </xf>
    <xf numFmtId="3" fontId="26" fillId="44" borderId="47" xfId="0" applyNumberFormat="1" applyFont="1" applyFill="1" applyBorder="1" applyAlignment="1" applyProtection="1">
      <alignment horizontal="center" vertical="center"/>
    </xf>
    <xf numFmtId="3" fontId="26" fillId="44" borderId="28" xfId="0" applyNumberFormat="1" applyFont="1" applyFill="1" applyBorder="1" applyAlignment="1" applyProtection="1">
      <alignment horizontal="center" vertical="center"/>
    </xf>
    <xf numFmtId="3" fontId="26" fillId="44" borderId="25" xfId="0" applyNumberFormat="1" applyFont="1" applyFill="1" applyBorder="1" applyAlignment="1" applyProtection="1">
      <alignment horizontal="center" vertical="center"/>
    </xf>
    <xf numFmtId="6" fontId="26" fillId="39" borderId="35" xfId="35" applyNumberFormat="1" applyFont="1" applyFill="1" applyBorder="1" applyAlignment="1" applyProtection="1">
      <alignment horizontal="center" vertical="center"/>
    </xf>
    <xf numFmtId="0" fontId="0" fillId="42" borderId="0" xfId="0" applyFill="1" applyBorder="1" applyProtection="1"/>
    <xf numFmtId="0" fontId="11" fillId="42" borderId="0" xfId="0" applyFont="1" applyFill="1" applyBorder="1" applyAlignment="1" applyProtection="1">
      <alignment horizontal="right" vertical="center"/>
    </xf>
    <xf numFmtId="0" fontId="127" fillId="42" borderId="0" xfId="0" applyFont="1" applyFill="1" applyBorder="1" applyAlignment="1" applyProtection="1">
      <alignment horizontal="left" vertical="center"/>
    </xf>
    <xf numFmtId="9" fontId="26" fillId="42" borderId="0" xfId="35" applyFont="1" applyFill="1" applyBorder="1" applyAlignment="1" applyProtection="1">
      <alignment horizontal="center" vertical="center"/>
    </xf>
    <xf numFmtId="0" fontId="50" fillId="42" borderId="0" xfId="0" applyFont="1" applyFill="1" applyBorder="1" applyProtection="1"/>
    <xf numFmtId="0" fontId="0" fillId="42" borderId="45" xfId="0" applyFill="1" applyBorder="1" applyProtection="1"/>
    <xf numFmtId="0" fontId="0" fillId="42" borderId="44" xfId="0" applyFill="1" applyBorder="1" applyProtection="1"/>
    <xf numFmtId="0" fontId="0" fillId="42" borderId="50" xfId="0" applyFill="1" applyBorder="1" applyProtection="1"/>
    <xf numFmtId="0" fontId="0" fillId="42" borderId="10" xfId="0" applyFill="1" applyBorder="1" applyProtection="1"/>
    <xf numFmtId="0" fontId="0" fillId="42" borderId="12" xfId="0" applyFill="1" applyBorder="1" applyProtection="1"/>
    <xf numFmtId="0" fontId="11" fillId="42" borderId="10" xfId="0" applyFont="1" applyFill="1" applyBorder="1" applyProtection="1"/>
    <xf numFmtId="0" fontId="0" fillId="42" borderId="20" xfId="0" applyFill="1" applyBorder="1" applyProtection="1"/>
    <xf numFmtId="0" fontId="0" fillId="42" borderId="17" xfId="0" applyFill="1" applyBorder="1" applyProtection="1"/>
    <xf numFmtId="0" fontId="11" fillId="42" borderId="17" xfId="0" applyFont="1" applyFill="1" applyBorder="1" applyAlignment="1" applyProtection="1">
      <alignment horizontal="right" vertical="center"/>
    </xf>
    <xf numFmtId="6" fontId="26" fillId="42" borderId="17" xfId="35" applyNumberFormat="1" applyFont="1" applyFill="1" applyBorder="1" applyAlignment="1" applyProtection="1">
      <alignment horizontal="center" vertical="center"/>
    </xf>
    <xf numFmtId="0" fontId="50" fillId="42" borderId="17" xfId="0" applyFont="1" applyFill="1" applyBorder="1" applyProtection="1"/>
    <xf numFmtId="0" fontId="0" fillId="42" borderId="51" xfId="0" applyFill="1" applyBorder="1" applyProtection="1"/>
    <xf numFmtId="0" fontId="20" fillId="18" borderId="12" xfId="0" applyFont="1" applyFill="1" applyBorder="1" applyAlignment="1" applyProtection="1">
      <alignment horizontal="center" vertical="center"/>
    </xf>
    <xf numFmtId="0" fontId="20" fillId="41" borderId="48" xfId="0" applyFont="1" applyFill="1" applyBorder="1" applyAlignment="1" applyProtection="1">
      <alignment horizontal="center" vertical="center"/>
      <protection locked="0"/>
    </xf>
    <xf numFmtId="0" fontId="151" fillId="0" borderId="81" xfId="0" applyFont="1" applyBorder="1" applyAlignment="1">
      <alignment horizontal="center" vertical="center"/>
    </xf>
    <xf numFmtId="0" fontId="24" fillId="22" borderId="39" xfId="0" applyFont="1" applyFill="1" applyBorder="1" applyAlignment="1" applyProtection="1">
      <alignment horizontal="center" vertical="center"/>
    </xf>
    <xf numFmtId="17" fontId="24" fillId="22" borderId="39" xfId="0" quotePrefix="1" applyNumberFormat="1" applyFont="1" applyFill="1" applyBorder="1" applyAlignment="1" applyProtection="1">
      <alignment horizontal="center" vertical="center"/>
      <protection locked="0"/>
    </xf>
    <xf numFmtId="17" fontId="24" fillId="22" borderId="25" xfId="0" quotePrefix="1" applyNumberFormat="1" applyFont="1" applyFill="1" applyBorder="1" applyAlignment="1" applyProtection="1">
      <alignment horizontal="center" vertical="center"/>
      <protection locked="0"/>
    </xf>
    <xf numFmtId="0" fontId="24" fillId="22" borderId="57" xfId="0" applyFont="1" applyFill="1" applyBorder="1" applyAlignment="1" applyProtection="1">
      <alignment horizontal="center" vertical="center"/>
    </xf>
    <xf numFmtId="0" fontId="24" fillId="22" borderId="48" xfId="0" applyFont="1" applyFill="1" applyBorder="1" applyAlignment="1" applyProtection="1">
      <alignment horizontal="center" vertical="center"/>
    </xf>
    <xf numFmtId="0" fontId="24" fillId="22" borderId="35" xfId="0" applyFont="1" applyFill="1" applyBorder="1" applyAlignment="1" applyProtection="1">
      <alignment horizontal="center" vertical="center"/>
    </xf>
    <xf numFmtId="0" fontId="24" fillId="24" borderId="36" xfId="0" applyFont="1" applyFill="1" applyBorder="1" applyProtection="1"/>
    <xf numFmtId="0" fontId="24" fillId="24" borderId="45" xfId="0" applyFont="1" applyFill="1" applyBorder="1" applyAlignment="1" applyProtection="1">
      <alignment horizontal="center" vertical="center"/>
    </xf>
    <xf numFmtId="0" fontId="24" fillId="24" borderId="44" xfId="0" applyFont="1" applyFill="1" applyBorder="1" applyAlignment="1" applyProtection="1">
      <alignment horizontal="center" vertical="center"/>
    </xf>
    <xf numFmtId="0" fontId="24" fillId="24" borderId="50" xfId="0" applyFont="1" applyFill="1" applyBorder="1" applyAlignment="1" applyProtection="1">
      <alignment horizontal="center" vertical="center"/>
    </xf>
    <xf numFmtId="0" fontId="24" fillId="24" borderId="49" xfId="0" applyFont="1" applyFill="1" applyBorder="1" applyAlignment="1" applyProtection="1">
      <alignment horizontal="center" vertical="center"/>
    </xf>
    <xf numFmtId="0" fontId="20" fillId="19" borderId="13" xfId="0" applyFont="1" applyFill="1" applyBorder="1" applyAlignment="1" applyProtection="1">
      <alignment horizontal="center" vertical="center"/>
    </xf>
    <xf numFmtId="0" fontId="20" fillId="24" borderId="30" xfId="0" applyFont="1" applyFill="1" applyBorder="1" applyAlignment="1" applyProtection="1">
      <alignment horizontal="center" vertical="center"/>
    </xf>
    <xf numFmtId="0" fontId="21" fillId="24" borderId="13" xfId="0" applyFont="1" applyFill="1" applyBorder="1" applyProtection="1"/>
    <xf numFmtId="0" fontId="21" fillId="24" borderId="13" xfId="0" applyFont="1" applyFill="1" applyBorder="1" applyAlignment="1" applyProtection="1">
      <alignment horizontal="center" vertical="center"/>
    </xf>
    <xf numFmtId="169" fontId="21" fillId="24" borderId="13" xfId="45" applyNumberFormat="1" applyFont="1" applyFill="1" applyBorder="1" applyAlignment="1" applyProtection="1">
      <alignment horizontal="center" vertical="center"/>
    </xf>
    <xf numFmtId="2" fontId="21" fillId="24" borderId="13" xfId="0" applyNumberFormat="1" applyFont="1" applyFill="1" applyBorder="1" applyAlignment="1" applyProtection="1">
      <alignment horizontal="center" vertical="center"/>
    </xf>
    <xf numFmtId="167" fontId="63" fillId="24" borderId="13" xfId="0" applyNumberFormat="1" applyFont="1" applyFill="1" applyBorder="1" applyAlignment="1" applyProtection="1">
      <alignment horizontal="center" vertical="center"/>
    </xf>
    <xf numFmtId="17" fontId="20" fillId="18" borderId="0" xfId="0" applyNumberFormat="1" applyFont="1" applyFill="1" applyBorder="1" applyProtection="1"/>
    <xf numFmtId="0" fontId="21" fillId="18" borderId="12" xfId="0" applyFont="1" applyFill="1" applyBorder="1" applyProtection="1"/>
    <xf numFmtId="0" fontId="21" fillId="18" borderId="45" xfId="0" applyFont="1" applyFill="1" applyBorder="1" applyProtection="1"/>
    <xf numFmtId="0" fontId="21" fillId="18" borderId="20" xfId="0" applyFont="1" applyFill="1" applyBorder="1" applyProtection="1"/>
    <xf numFmtId="0" fontId="21" fillId="24" borderId="24" xfId="0" applyFont="1" applyFill="1" applyBorder="1" applyProtection="1"/>
    <xf numFmtId="0" fontId="21" fillId="24" borderId="47" xfId="0" applyFont="1" applyFill="1" applyBorder="1" applyProtection="1"/>
    <xf numFmtId="0" fontId="21" fillId="24" borderId="28" xfId="0" applyFont="1" applyFill="1" applyBorder="1" applyProtection="1"/>
    <xf numFmtId="0" fontId="21" fillId="24" borderId="48" xfId="0" applyFont="1" applyFill="1" applyBorder="1" applyProtection="1"/>
    <xf numFmtId="2" fontId="20" fillId="24" borderId="11" xfId="0" applyNumberFormat="1" applyFont="1" applyFill="1" applyBorder="1" applyAlignment="1" applyProtection="1">
      <alignment horizontal="center"/>
    </xf>
    <xf numFmtId="167" fontId="20" fillId="24" borderId="11" xfId="0" applyNumberFormat="1" applyFont="1" applyFill="1" applyBorder="1" applyAlignment="1" applyProtection="1">
      <alignment horizontal="center"/>
    </xf>
    <xf numFmtId="0" fontId="20" fillId="24" borderId="19" xfId="0" applyFont="1" applyFill="1" applyBorder="1" applyProtection="1"/>
    <xf numFmtId="0" fontId="20" fillId="24" borderId="22" xfId="0" applyFont="1" applyFill="1" applyBorder="1" applyProtection="1"/>
    <xf numFmtId="0" fontId="21" fillId="24" borderId="39" xfId="0" applyFont="1" applyFill="1" applyBorder="1" applyProtection="1"/>
    <xf numFmtId="0" fontId="20" fillId="18" borderId="51" xfId="0" applyFont="1" applyFill="1" applyBorder="1" applyProtection="1"/>
    <xf numFmtId="9" fontId="21" fillId="39" borderId="35" xfId="35" applyFont="1" applyFill="1" applyBorder="1" applyAlignment="1" applyProtection="1">
      <alignment horizontal="center" vertical="center"/>
    </xf>
    <xf numFmtId="0" fontId="147" fillId="18" borderId="0" xfId="0" applyFont="1" applyFill="1" applyBorder="1" applyAlignment="1" applyProtection="1">
      <alignment horizontal="left" vertical="center"/>
    </xf>
    <xf numFmtId="3" fontId="20" fillId="41" borderId="11" xfId="45" applyNumberFormat="1" applyFont="1" applyFill="1" applyBorder="1" applyAlignment="1" applyProtection="1">
      <alignment horizontal="center" vertical="center"/>
      <protection locked="0"/>
    </xf>
    <xf numFmtId="3" fontId="20" fillId="24" borderId="26" xfId="45" applyNumberFormat="1" applyFont="1" applyFill="1" applyBorder="1" applyAlignment="1" applyProtection="1">
      <alignment horizontal="center" vertical="center"/>
    </xf>
    <xf numFmtId="3" fontId="20" fillId="44" borderId="26" xfId="45" applyNumberFormat="1" applyFont="1" applyFill="1" applyBorder="1" applyAlignment="1" applyProtection="1">
      <alignment horizontal="center" vertical="center"/>
    </xf>
    <xf numFmtId="3" fontId="20" fillId="24" borderId="30" xfId="45" applyNumberFormat="1" applyFont="1" applyFill="1" applyBorder="1" applyAlignment="1" applyProtection="1">
      <alignment horizontal="center" vertical="center"/>
    </xf>
    <xf numFmtId="3" fontId="20" fillId="41" borderId="23" xfId="0" applyNumberFormat="1" applyFont="1" applyFill="1" applyBorder="1" applyAlignment="1" applyProtection="1">
      <alignment horizontal="center" vertical="center"/>
      <protection locked="0"/>
    </xf>
    <xf numFmtId="3" fontId="20" fillId="41" borderId="23" xfId="45" applyNumberFormat="1" applyFont="1" applyFill="1" applyBorder="1" applyAlignment="1" applyProtection="1">
      <alignment horizontal="center" vertical="center"/>
      <protection locked="0"/>
    </xf>
    <xf numFmtId="3" fontId="20" fillId="24" borderId="34" xfId="45" applyNumberFormat="1" applyFont="1" applyFill="1" applyBorder="1" applyAlignment="1" applyProtection="1">
      <alignment horizontal="center" vertical="center"/>
    </xf>
    <xf numFmtId="3" fontId="20" fillId="44" borderId="60" xfId="45" applyNumberFormat="1" applyFont="1" applyFill="1" applyBorder="1" applyAlignment="1" applyProtection="1">
      <alignment horizontal="center" vertical="center"/>
    </xf>
    <xf numFmtId="0" fontId="21" fillId="24" borderId="39" xfId="0" applyFont="1" applyFill="1" applyBorder="1" applyAlignment="1" applyProtection="1">
      <alignment horizontal="center" vertical="center"/>
    </xf>
    <xf numFmtId="3" fontId="21" fillId="44" borderId="24" xfId="0" applyNumberFormat="1" applyFont="1" applyFill="1" applyBorder="1" applyAlignment="1" applyProtection="1">
      <alignment horizontal="center" vertical="center"/>
    </xf>
    <xf numFmtId="3" fontId="20" fillId="44" borderId="28" xfId="0" applyNumberFormat="1" applyFont="1" applyFill="1" applyBorder="1" applyAlignment="1" applyProtection="1">
      <alignment horizontal="center" vertical="center"/>
    </xf>
    <xf numFmtId="3" fontId="21" fillId="44" borderId="28" xfId="45" applyNumberFormat="1" applyFont="1" applyFill="1" applyBorder="1" applyAlignment="1" applyProtection="1">
      <alignment horizontal="center" vertical="center"/>
    </xf>
    <xf numFmtId="3" fontId="20" fillId="44" borderId="28" xfId="45" applyNumberFormat="1" applyFont="1" applyFill="1" applyBorder="1" applyAlignment="1" applyProtection="1">
      <alignment horizontal="center" vertical="center"/>
    </xf>
    <xf numFmtId="3" fontId="21" fillId="24" borderId="48" xfId="45" applyNumberFormat="1" applyFont="1" applyFill="1" applyBorder="1" applyAlignment="1" applyProtection="1">
      <alignment horizontal="center" vertical="center"/>
    </xf>
    <xf numFmtId="3" fontId="21" fillId="44" borderId="48" xfId="45" applyNumberFormat="1" applyFont="1" applyFill="1" applyBorder="1" applyAlignment="1" applyProtection="1">
      <alignment horizontal="center" vertical="center"/>
    </xf>
    <xf numFmtId="0" fontId="1" fillId="24" borderId="39" xfId="0" applyFont="1" applyFill="1" applyBorder="1" applyAlignment="1" applyProtection="1">
      <alignment vertical="center"/>
    </xf>
    <xf numFmtId="0" fontId="1" fillId="24" borderId="57" xfId="0" applyFont="1" applyFill="1" applyBorder="1" applyAlignment="1" applyProtection="1">
      <alignment vertical="center"/>
    </xf>
    <xf numFmtId="179" fontId="1" fillId="24" borderId="29" xfId="0" applyNumberFormat="1" applyFont="1" applyFill="1" applyBorder="1" applyAlignment="1" applyProtection="1">
      <alignment horizontal="center" vertical="center"/>
    </xf>
    <xf numFmtId="179" fontId="1" fillId="24" borderId="57" xfId="0" applyNumberFormat="1" applyFont="1" applyFill="1" applyBorder="1" applyAlignment="1" applyProtection="1">
      <alignment vertical="center"/>
    </xf>
    <xf numFmtId="0" fontId="11" fillId="24" borderId="57" xfId="0" applyFont="1" applyFill="1" applyBorder="1" applyAlignment="1" applyProtection="1">
      <alignment horizontal="left" vertical="center"/>
    </xf>
    <xf numFmtId="179" fontId="11" fillId="24" borderId="29" xfId="0" applyNumberFormat="1" applyFont="1" applyFill="1" applyBorder="1" applyAlignment="1" applyProtection="1">
      <alignment horizontal="left" vertical="center"/>
    </xf>
    <xf numFmtId="0" fontId="21" fillId="41" borderId="48" xfId="0" applyFont="1" applyFill="1" applyBorder="1" applyAlignment="1" applyProtection="1">
      <alignment horizontal="center" vertical="center"/>
      <protection locked="0"/>
    </xf>
    <xf numFmtId="0" fontId="20" fillId="42" borderId="11" xfId="0" applyFont="1" applyFill="1" applyBorder="1" applyAlignment="1" applyProtection="1">
      <alignment horizontal="center" vertical="center"/>
    </xf>
    <xf numFmtId="0" fontId="20" fillId="42" borderId="13" xfId="0" applyFont="1" applyFill="1" applyBorder="1" applyAlignment="1" applyProtection="1">
      <alignment horizontal="center" vertical="center"/>
    </xf>
    <xf numFmtId="179" fontId="11" fillId="43" borderId="57" xfId="0" applyNumberFormat="1" applyFont="1" applyFill="1" applyBorder="1" applyAlignment="1" applyProtection="1">
      <alignment horizontal="center" vertical="center"/>
      <protection hidden="1"/>
    </xf>
    <xf numFmtId="0" fontId="0" fillId="43" borderId="57" xfId="0" applyFill="1" applyBorder="1" applyAlignment="1" applyProtection="1">
      <alignment horizontal="center" vertical="center"/>
      <protection hidden="1"/>
    </xf>
    <xf numFmtId="179" fontId="0" fillId="43" borderId="57" xfId="0" applyNumberFormat="1" applyFill="1" applyBorder="1" applyAlignment="1" applyProtection="1">
      <alignment horizontal="center" vertical="center"/>
      <protection hidden="1"/>
    </xf>
    <xf numFmtId="0" fontId="66" fillId="43" borderId="29" xfId="0" applyFont="1" applyFill="1" applyBorder="1" applyAlignment="1" applyProtection="1">
      <alignment horizontal="center" vertical="center"/>
      <protection hidden="1"/>
    </xf>
    <xf numFmtId="0" fontId="0" fillId="43" borderId="39" xfId="0" applyFill="1" applyBorder="1" applyAlignment="1" applyProtection="1">
      <alignment horizontal="left" vertical="center"/>
      <protection hidden="1"/>
    </xf>
    <xf numFmtId="0" fontId="1" fillId="42" borderId="109" xfId="0" applyFont="1" applyFill="1" applyBorder="1" applyAlignment="1" applyProtection="1">
      <alignment horizontal="center" vertical="center"/>
      <protection hidden="1"/>
    </xf>
    <xf numFmtId="0" fontId="1" fillId="42" borderId="114" xfId="0" applyFont="1" applyFill="1" applyBorder="1" applyAlignment="1" applyProtection="1">
      <alignment horizontal="center" vertical="center"/>
      <protection hidden="1"/>
    </xf>
    <xf numFmtId="0" fontId="1" fillId="42" borderId="115" xfId="0" applyFont="1" applyFill="1" applyBorder="1" applyAlignment="1" applyProtection="1">
      <alignment horizontal="center" vertical="center"/>
      <protection hidden="1"/>
    </xf>
    <xf numFmtId="0" fontId="1" fillId="42" borderId="115" xfId="0" applyFont="1" applyFill="1" applyBorder="1" applyAlignment="1" applyProtection="1">
      <alignment horizontal="center" vertical="center" wrapText="1"/>
      <protection hidden="1"/>
    </xf>
    <xf numFmtId="3" fontId="139" fillId="18" borderId="0" xfId="0" applyNumberFormat="1" applyFont="1" applyFill="1" applyBorder="1" applyProtection="1">
      <protection hidden="1"/>
    </xf>
    <xf numFmtId="3" fontId="139" fillId="18" borderId="0" xfId="0" applyNumberFormat="1" applyFont="1" applyFill="1" applyProtection="1">
      <protection hidden="1"/>
    </xf>
    <xf numFmtId="0" fontId="139" fillId="18" borderId="0" xfId="0" applyFont="1" applyFill="1" applyProtection="1">
      <protection hidden="1"/>
    </xf>
    <xf numFmtId="0" fontId="139" fillId="0" borderId="0" xfId="0" applyFont="1" applyProtection="1">
      <protection hidden="1"/>
    </xf>
    <xf numFmtId="0" fontId="11" fillId="42" borderId="19" xfId="0" applyFont="1" applyFill="1" applyBorder="1" applyProtection="1"/>
    <xf numFmtId="0" fontId="1" fillId="42" borderId="24" xfId="0" applyFont="1" applyFill="1" applyBorder="1" applyAlignment="1" applyProtection="1">
      <alignment horizontal="left" vertical="center" wrapText="1"/>
      <protection hidden="1"/>
    </xf>
    <xf numFmtId="0" fontId="1" fillId="42" borderId="47" xfId="0" applyFont="1" applyFill="1" applyBorder="1" applyAlignment="1" applyProtection="1">
      <alignment horizontal="center" vertical="center" wrapText="1"/>
      <protection hidden="1"/>
    </xf>
    <xf numFmtId="0" fontId="1" fillId="42" borderId="28" xfId="0" applyFont="1" applyFill="1" applyBorder="1" applyAlignment="1" applyProtection="1">
      <alignment horizontal="center" vertical="center" wrapText="1"/>
      <protection hidden="1"/>
    </xf>
    <xf numFmtId="0" fontId="1" fillId="40" borderId="0" xfId="0" applyFont="1" applyFill="1" applyBorder="1" applyAlignment="1" applyProtection="1">
      <alignment vertical="center"/>
      <protection hidden="1"/>
    </xf>
    <xf numFmtId="0" fontId="139" fillId="40" borderId="0" xfId="0" applyFont="1" applyFill="1" applyProtection="1">
      <protection hidden="1"/>
    </xf>
    <xf numFmtId="0" fontId="0" fillId="20" borderId="46" xfId="0" applyFill="1" applyBorder="1" applyProtection="1">
      <protection hidden="1"/>
    </xf>
    <xf numFmtId="0" fontId="0" fillId="19" borderId="56" xfId="0" applyFill="1" applyBorder="1" applyAlignment="1" applyProtection="1">
      <alignment horizontal="center"/>
      <protection hidden="1"/>
    </xf>
    <xf numFmtId="0" fontId="11" fillId="42" borderId="19" xfId="0" applyFont="1" applyFill="1" applyBorder="1" applyProtection="1">
      <protection hidden="1"/>
    </xf>
    <xf numFmtId="0" fontId="0" fillId="42" borderId="19" xfId="0" applyFill="1" applyBorder="1" applyProtection="1"/>
    <xf numFmtId="0" fontId="26" fillId="40" borderId="0" xfId="0" applyFont="1" applyFill="1" applyBorder="1" applyAlignment="1" applyProtection="1">
      <alignment horizontal="center" vertical="center"/>
      <protection hidden="1"/>
    </xf>
    <xf numFmtId="17" fontId="26" fillId="46" borderId="35" xfId="0" applyNumberFormat="1" applyFont="1" applyFill="1" applyBorder="1" applyAlignment="1" applyProtection="1">
      <alignment horizontal="center" vertical="center"/>
      <protection hidden="1"/>
    </xf>
    <xf numFmtId="0" fontId="0" fillId="46" borderId="29" xfId="0" applyFill="1" applyBorder="1" applyAlignment="1" applyProtection="1">
      <alignment horizontal="center" vertical="center"/>
      <protection hidden="1"/>
    </xf>
    <xf numFmtId="0" fontId="1" fillId="46" borderId="57" xfId="0" applyFont="1" applyFill="1" applyBorder="1" applyAlignment="1" applyProtection="1">
      <alignment horizontal="center" vertical="center"/>
      <protection hidden="1"/>
    </xf>
    <xf numFmtId="0" fontId="152" fillId="18" borderId="10" xfId="0" applyFont="1" applyFill="1" applyBorder="1" applyProtection="1">
      <protection hidden="1"/>
    </xf>
    <xf numFmtId="165" fontId="11" fillId="44" borderId="13" xfId="45" applyFont="1" applyFill="1" applyBorder="1" applyAlignment="1" applyProtection="1">
      <alignment horizontal="center" vertical="center"/>
      <protection hidden="1"/>
    </xf>
    <xf numFmtId="165" fontId="11" fillId="44" borderId="30" xfId="45" applyFont="1" applyFill="1" applyBorder="1" applyAlignment="1" applyProtection="1">
      <alignment horizontal="center" vertical="center"/>
      <protection hidden="1"/>
    </xf>
    <xf numFmtId="165" fontId="11" fillId="44" borderId="23" xfId="45" applyFont="1" applyFill="1" applyBorder="1" applyAlignment="1" applyProtection="1">
      <alignment horizontal="center" vertical="center"/>
      <protection hidden="1"/>
    </xf>
    <xf numFmtId="165" fontId="11" fillId="44" borderId="34" xfId="45" applyFont="1" applyFill="1" applyBorder="1" applyAlignment="1" applyProtection="1">
      <alignment horizontal="center" vertical="center"/>
      <protection hidden="1"/>
    </xf>
    <xf numFmtId="165" fontId="11" fillId="44" borderId="11" xfId="45" applyFont="1" applyFill="1" applyBorder="1" applyAlignment="1" applyProtection="1">
      <alignment horizontal="center" vertical="center"/>
      <protection hidden="1"/>
    </xf>
    <xf numFmtId="165" fontId="11" fillId="44" borderId="26" xfId="45" applyFont="1" applyFill="1" applyBorder="1" applyAlignment="1" applyProtection="1">
      <alignment horizontal="center" vertical="center"/>
      <protection hidden="1"/>
    </xf>
    <xf numFmtId="165" fontId="11" fillId="44" borderId="14" xfId="45" applyFont="1" applyFill="1" applyBorder="1" applyAlignment="1" applyProtection="1">
      <alignment horizontal="center" vertical="center"/>
      <protection hidden="1"/>
    </xf>
    <xf numFmtId="165" fontId="11" fillId="44" borderId="38" xfId="45" applyFont="1" applyFill="1" applyBorder="1" applyAlignment="1" applyProtection="1">
      <alignment horizontal="center" vertical="center"/>
      <protection hidden="1"/>
    </xf>
    <xf numFmtId="0" fontId="1" fillId="41" borderId="24" xfId="0" applyFont="1" applyFill="1" applyBorder="1" applyProtection="1"/>
    <xf numFmtId="0" fontId="0" fillId="41" borderId="21" xfId="0" applyFill="1" applyBorder="1" applyProtection="1">
      <protection locked="0"/>
    </xf>
    <xf numFmtId="0" fontId="0" fillId="41" borderId="19" xfId="0" applyFill="1" applyBorder="1" applyProtection="1">
      <protection locked="0"/>
    </xf>
    <xf numFmtId="0" fontId="0" fillId="41" borderId="18" xfId="0" applyFill="1" applyBorder="1" applyProtection="1">
      <protection locked="0"/>
    </xf>
    <xf numFmtId="3" fontId="11" fillId="44" borderId="13" xfId="0" applyNumberFormat="1" applyFont="1" applyFill="1" applyBorder="1" applyAlignment="1" applyProtection="1">
      <alignment horizontal="center" vertical="center"/>
      <protection hidden="1"/>
    </xf>
    <xf numFmtId="0" fontId="11" fillId="44" borderId="13" xfId="0" applyFont="1" applyFill="1" applyBorder="1" applyAlignment="1" applyProtection="1">
      <alignment horizontal="center" vertical="center"/>
      <protection hidden="1"/>
    </xf>
    <xf numFmtId="0" fontId="11" fillId="41" borderId="23" xfId="0" applyFont="1" applyFill="1" applyBorder="1" applyAlignment="1" applyProtection="1">
      <alignment horizontal="center" vertical="center"/>
      <protection locked="0"/>
    </xf>
    <xf numFmtId="0" fontId="11" fillId="44" borderId="23" xfId="0" applyFont="1" applyFill="1" applyBorder="1" applyAlignment="1" applyProtection="1">
      <alignment horizontal="center" vertical="center"/>
      <protection hidden="1"/>
    </xf>
    <xf numFmtId="165" fontId="11" fillId="41" borderId="23" xfId="45" applyFont="1" applyFill="1" applyBorder="1" applyAlignment="1" applyProtection="1">
      <alignment horizontal="center" vertical="center"/>
      <protection locked="0"/>
    </xf>
    <xf numFmtId="0" fontId="1" fillId="44" borderId="28" xfId="0" applyFont="1" applyFill="1" applyBorder="1" applyAlignment="1" applyProtection="1">
      <alignment horizontal="center" vertical="center"/>
      <protection hidden="1"/>
    </xf>
    <xf numFmtId="165" fontId="1" fillId="41" borderId="28" xfId="45" applyFont="1" applyFill="1" applyBorder="1" applyAlignment="1" applyProtection="1">
      <alignment horizontal="center" vertical="center"/>
    </xf>
    <xf numFmtId="165" fontId="1" fillId="44" borderId="28" xfId="45" applyFont="1" applyFill="1" applyBorder="1" applyAlignment="1" applyProtection="1">
      <alignment horizontal="center" vertical="center"/>
      <protection hidden="1"/>
    </xf>
    <xf numFmtId="165" fontId="1" fillId="44" borderId="48" xfId="45" applyFont="1" applyFill="1" applyBorder="1" applyAlignment="1" applyProtection="1">
      <alignment horizontal="center" vertical="center"/>
      <protection hidden="1"/>
    </xf>
    <xf numFmtId="0" fontId="11" fillId="41" borderId="11" xfId="0" applyFont="1" applyFill="1" applyBorder="1" applyAlignment="1" applyProtection="1">
      <alignment horizontal="center" vertical="center"/>
      <protection locked="0"/>
    </xf>
    <xf numFmtId="0" fontId="11" fillId="44" borderId="11" xfId="0" applyFont="1" applyFill="1" applyBorder="1" applyAlignment="1" applyProtection="1">
      <alignment horizontal="center" vertical="center"/>
      <protection hidden="1"/>
    </xf>
    <xf numFmtId="165" fontId="11" fillId="41" borderId="11" xfId="45" applyFont="1" applyFill="1" applyBorder="1" applyAlignment="1" applyProtection="1">
      <alignment horizontal="center" vertical="center"/>
      <protection locked="0"/>
    </xf>
    <xf numFmtId="0" fontId="11" fillId="44" borderId="14" xfId="0" applyFont="1" applyFill="1" applyBorder="1" applyAlignment="1" applyProtection="1">
      <alignment horizontal="center" vertical="center"/>
      <protection hidden="1"/>
    </xf>
    <xf numFmtId="165" fontId="11" fillId="41" borderId="14" xfId="45" applyFont="1" applyFill="1" applyBorder="1" applyAlignment="1" applyProtection="1">
      <alignment horizontal="center" vertical="center"/>
      <protection locked="0"/>
    </xf>
    <xf numFmtId="17" fontId="26" fillId="42" borderId="45" xfId="0" applyNumberFormat="1" applyFont="1" applyFill="1" applyBorder="1" applyAlignment="1" applyProtection="1">
      <alignment horizontal="center" vertical="center"/>
      <protection hidden="1"/>
    </xf>
    <xf numFmtId="0" fontId="0" fillId="42" borderId="57" xfId="0" applyFill="1" applyBorder="1" applyAlignment="1" applyProtection="1">
      <alignment horizontal="center" vertical="center"/>
      <protection hidden="1"/>
    </xf>
    <xf numFmtId="0" fontId="28" fillId="42" borderId="57" xfId="0" applyFont="1" applyFill="1" applyBorder="1" applyAlignment="1" applyProtection="1">
      <alignment horizontal="center" vertical="center"/>
      <protection hidden="1"/>
    </xf>
    <xf numFmtId="0" fontId="1" fillId="46" borderId="39" xfId="0" applyFont="1" applyFill="1" applyBorder="1" applyAlignment="1" applyProtection="1">
      <alignment horizontal="center" vertical="center"/>
      <protection hidden="1"/>
    </xf>
    <xf numFmtId="0" fontId="1" fillId="44" borderId="28" xfId="0" applyFont="1" applyFill="1" applyBorder="1" applyAlignment="1" applyProtection="1">
      <alignment horizontal="center" vertical="center"/>
      <protection locked="0"/>
    </xf>
    <xf numFmtId="165" fontId="1" fillId="39" borderId="11" xfId="45" applyFont="1" applyFill="1" applyBorder="1" applyAlignment="1" applyProtection="1">
      <alignment horizontal="center" vertical="center"/>
      <protection hidden="1"/>
    </xf>
    <xf numFmtId="165" fontId="147" fillId="39" borderId="23" xfId="0" applyNumberFormat="1" applyFont="1" applyFill="1" applyBorder="1" applyAlignment="1" applyProtection="1">
      <alignment horizontal="center" vertical="center"/>
      <protection hidden="1"/>
    </xf>
    <xf numFmtId="165" fontId="0" fillId="18" borderId="44" xfId="0" applyNumberFormat="1" applyFill="1" applyBorder="1" applyProtection="1">
      <protection hidden="1"/>
    </xf>
    <xf numFmtId="0" fontId="152" fillId="18" borderId="20" xfId="0" applyFont="1" applyFill="1" applyBorder="1" applyProtection="1">
      <protection hidden="1"/>
    </xf>
    <xf numFmtId="165" fontId="36" fillId="39" borderId="26" xfId="45" applyFont="1" applyFill="1" applyBorder="1" applyAlignment="1" applyProtection="1">
      <alignment horizontal="center" vertical="center"/>
      <protection hidden="1"/>
    </xf>
    <xf numFmtId="165" fontId="0" fillId="39" borderId="34" xfId="0" applyNumberFormat="1" applyFill="1" applyBorder="1" applyAlignment="1" applyProtection="1">
      <alignment horizontal="center" vertical="center"/>
      <protection hidden="1"/>
    </xf>
    <xf numFmtId="165" fontId="147" fillId="39" borderId="34" xfId="0" applyNumberFormat="1" applyFont="1" applyFill="1" applyBorder="1" applyAlignment="1" applyProtection="1">
      <alignment horizontal="center" vertical="center"/>
      <protection hidden="1"/>
    </xf>
    <xf numFmtId="165" fontId="1" fillId="39" borderId="26" xfId="45" applyFont="1" applyFill="1" applyBorder="1" applyAlignment="1" applyProtection="1">
      <alignment horizontal="center" vertical="center"/>
      <protection hidden="1"/>
    </xf>
    <xf numFmtId="0" fontId="1" fillId="42" borderId="65" xfId="0" applyFont="1" applyFill="1" applyBorder="1" applyAlignment="1" applyProtection="1">
      <alignment horizontal="center" vertical="center" wrapText="1"/>
      <protection hidden="1"/>
    </xf>
    <xf numFmtId="0" fontId="1" fillId="42" borderId="12" xfId="0" applyFont="1" applyFill="1" applyBorder="1" applyAlignment="1" applyProtection="1">
      <alignment horizontal="center" vertical="center" wrapText="1"/>
      <protection hidden="1"/>
    </xf>
    <xf numFmtId="0" fontId="26" fillId="41" borderId="24" xfId="0" applyFont="1" applyFill="1" applyBorder="1" applyProtection="1">
      <protection locked="0"/>
    </xf>
    <xf numFmtId="0" fontId="1" fillId="44" borderId="58" xfId="0" applyFont="1" applyFill="1" applyBorder="1" applyAlignment="1" applyProtection="1">
      <alignment horizontal="center" vertical="center"/>
      <protection hidden="1"/>
    </xf>
    <xf numFmtId="0" fontId="147" fillId="44" borderId="59" xfId="0" applyFont="1" applyFill="1" applyBorder="1" applyAlignment="1" applyProtection="1">
      <alignment horizontal="center" vertical="center"/>
      <protection hidden="1"/>
    </xf>
    <xf numFmtId="0" fontId="0" fillId="18" borderId="12" xfId="0" applyFill="1" applyBorder="1" applyAlignment="1" applyProtection="1">
      <alignment horizontal="center" vertical="center"/>
      <protection hidden="1"/>
    </xf>
    <xf numFmtId="0" fontId="1" fillId="44" borderId="16" xfId="0" applyFont="1" applyFill="1" applyBorder="1" applyAlignment="1" applyProtection="1">
      <alignment horizontal="center" vertical="center"/>
      <protection hidden="1"/>
    </xf>
    <xf numFmtId="0" fontId="147" fillId="44" borderId="18" xfId="0" applyFont="1" applyFill="1" applyBorder="1" applyAlignment="1" applyProtection="1">
      <alignment horizontal="center" vertical="center"/>
      <protection hidden="1"/>
    </xf>
    <xf numFmtId="0" fontId="139" fillId="40" borderId="10" xfId="0" applyFont="1" applyFill="1" applyBorder="1" applyProtection="1">
      <protection hidden="1"/>
    </xf>
    <xf numFmtId="0" fontId="139" fillId="18" borderId="10" xfId="0" applyFont="1" applyFill="1" applyBorder="1" applyProtection="1">
      <protection hidden="1"/>
    </xf>
    <xf numFmtId="0" fontId="0" fillId="18" borderId="78" xfId="0" applyFill="1" applyBorder="1" applyProtection="1">
      <protection hidden="1"/>
    </xf>
    <xf numFmtId="0" fontId="0" fillId="18" borderId="84" xfId="0" applyFill="1" applyBorder="1" applyProtection="1">
      <protection hidden="1"/>
    </xf>
    <xf numFmtId="0" fontId="0" fillId="18" borderId="105" xfId="0" applyFill="1" applyBorder="1" applyAlignment="1" applyProtection="1">
      <alignment horizontal="center" vertical="center"/>
      <protection hidden="1"/>
    </xf>
    <xf numFmtId="0" fontId="1" fillId="44" borderId="19" xfId="0" applyFont="1" applyFill="1" applyBorder="1" applyAlignment="1" applyProtection="1">
      <alignment horizontal="center" vertical="center"/>
      <protection hidden="1"/>
    </xf>
    <xf numFmtId="165" fontId="1" fillId="39" borderId="13" xfId="45" applyFont="1" applyFill="1" applyBorder="1" applyAlignment="1" applyProtection="1">
      <alignment horizontal="center" vertical="center"/>
      <protection hidden="1"/>
    </xf>
    <xf numFmtId="165" fontId="1" fillId="39" borderId="30" xfId="45" applyFont="1" applyFill="1" applyBorder="1" applyAlignment="1" applyProtection="1">
      <alignment horizontal="center" vertical="center"/>
      <protection hidden="1"/>
    </xf>
    <xf numFmtId="165" fontId="147" fillId="39" borderId="14" xfId="0" applyNumberFormat="1" applyFont="1" applyFill="1" applyBorder="1" applyAlignment="1" applyProtection="1">
      <alignment horizontal="center" vertical="center"/>
      <protection hidden="1"/>
    </xf>
    <xf numFmtId="165" fontId="147" fillId="39" borderId="38" xfId="0" applyNumberFormat="1" applyFont="1" applyFill="1" applyBorder="1" applyAlignment="1" applyProtection="1">
      <alignment horizontal="center" vertical="center"/>
      <protection hidden="1"/>
    </xf>
    <xf numFmtId="165" fontId="0" fillId="18" borderId="57" xfId="0" applyNumberFormat="1" applyFill="1" applyBorder="1" applyProtection="1">
      <protection hidden="1"/>
    </xf>
    <xf numFmtId="0" fontId="0" fillId="19" borderId="21" xfId="0" applyFill="1" applyBorder="1" applyProtection="1">
      <protection locked="0"/>
    </xf>
    <xf numFmtId="0" fontId="11" fillId="24" borderId="39" xfId="0" applyFont="1" applyFill="1" applyBorder="1" applyAlignment="1" applyProtection="1">
      <alignment vertical="center"/>
      <protection hidden="1"/>
    </xf>
    <xf numFmtId="0" fontId="11" fillId="24" borderId="57" xfId="0" applyFont="1" applyFill="1" applyBorder="1" applyAlignment="1" applyProtection="1">
      <alignment vertical="center"/>
      <protection hidden="1"/>
    </xf>
    <xf numFmtId="179" fontId="11" fillId="24" borderId="57" xfId="0" applyNumberFormat="1" applyFont="1" applyFill="1" applyBorder="1" applyAlignment="1" applyProtection="1">
      <alignment vertical="center"/>
      <protection hidden="1"/>
    </xf>
    <xf numFmtId="179" fontId="11" fillId="24" borderId="29" xfId="0" applyNumberFormat="1" applyFont="1" applyFill="1" applyBorder="1" applyAlignment="1" applyProtection="1">
      <alignment horizontal="center" vertical="center"/>
      <protection hidden="1"/>
    </xf>
    <xf numFmtId="0" fontId="11" fillId="24" borderId="39" xfId="0" applyFont="1" applyFill="1" applyBorder="1" applyAlignment="1" applyProtection="1">
      <alignment vertical="center"/>
    </xf>
    <xf numFmtId="179" fontId="11" fillId="24" borderId="29" xfId="0" applyNumberFormat="1" applyFont="1" applyFill="1" applyBorder="1" applyAlignment="1" applyProtection="1">
      <alignment horizontal="right" vertical="center"/>
    </xf>
    <xf numFmtId="3" fontId="20" fillId="39" borderId="15" xfId="0" applyNumberFormat="1" applyFont="1" applyFill="1" applyBorder="1" applyAlignment="1" applyProtection="1">
      <alignment horizontal="center" vertical="center"/>
      <protection locked="0"/>
    </xf>
    <xf numFmtId="3" fontId="20" fillId="39" borderId="13" xfId="0" applyNumberFormat="1" applyFont="1" applyFill="1" applyBorder="1" applyAlignment="1" applyProtection="1">
      <alignment horizontal="center" vertical="center"/>
      <protection locked="0"/>
    </xf>
    <xf numFmtId="3" fontId="20" fillId="39" borderId="64" xfId="0" applyNumberFormat="1" applyFont="1" applyFill="1" applyBorder="1" applyAlignment="1" applyProtection="1">
      <alignment horizontal="center" vertical="center"/>
      <protection locked="0"/>
    </xf>
    <xf numFmtId="3" fontId="21" fillId="39" borderId="28" xfId="0" applyNumberFormat="1" applyFont="1" applyFill="1" applyBorder="1" applyAlignment="1" applyProtection="1">
      <alignment horizontal="center" vertical="center"/>
    </xf>
    <xf numFmtId="0" fontId="20" fillId="19" borderId="118" xfId="0" applyFont="1" applyFill="1" applyBorder="1" applyAlignment="1" applyProtection="1">
      <alignment horizontal="center" vertical="center"/>
      <protection locked="0"/>
    </xf>
    <xf numFmtId="0" fontId="20" fillId="19" borderId="119" xfId="0" applyFont="1" applyFill="1" applyBorder="1" applyAlignment="1" applyProtection="1">
      <alignment horizontal="center" vertical="center"/>
      <protection locked="0"/>
    </xf>
    <xf numFmtId="182" fontId="21" fillId="40" borderId="48" xfId="0" quotePrefix="1" applyNumberFormat="1" applyFont="1" applyFill="1" applyBorder="1" applyAlignment="1" applyProtection="1">
      <alignment horizontal="center" vertical="center"/>
    </xf>
    <xf numFmtId="182" fontId="21" fillId="41" borderId="48" xfId="0" quotePrefix="1" applyNumberFormat="1" applyFont="1" applyFill="1" applyBorder="1" applyAlignment="1" applyProtection="1">
      <alignment horizontal="center" vertical="center"/>
      <protection locked="0"/>
    </xf>
    <xf numFmtId="9" fontId="21" fillId="39" borderId="35" xfId="35" applyNumberFormat="1" applyFont="1" applyFill="1" applyBorder="1" applyAlignment="1" applyProtection="1">
      <alignment horizontal="center" vertical="center"/>
    </xf>
    <xf numFmtId="0" fontId="20" fillId="0" borderId="45" xfId="0" applyFont="1" applyBorder="1" applyAlignment="1" applyProtection="1">
      <alignment vertical="center"/>
      <protection locked="0"/>
    </xf>
    <xf numFmtId="0" fontId="20" fillId="0" borderId="10" xfId="0" applyFont="1" applyBorder="1" applyAlignment="1" applyProtection="1">
      <alignment vertical="center"/>
      <protection locked="0"/>
    </xf>
    <xf numFmtId="0" fontId="20" fillId="0" borderId="20" xfId="0" applyFont="1" applyBorder="1" applyAlignment="1" applyProtection="1">
      <alignment vertical="center"/>
      <protection locked="0"/>
    </xf>
    <xf numFmtId="167" fontId="145" fillId="39" borderId="35" xfId="0" applyNumberFormat="1" applyFont="1" applyFill="1" applyBorder="1" applyAlignment="1" applyProtection="1">
      <alignment horizontal="center" vertical="center"/>
      <protection locked="0"/>
    </xf>
    <xf numFmtId="0" fontId="21" fillId="42" borderId="32" xfId="0" applyFont="1" applyFill="1" applyBorder="1" applyAlignment="1" applyProtection="1">
      <alignment vertical="center" wrapText="1"/>
    </xf>
    <xf numFmtId="0" fontId="21" fillId="42" borderId="66" xfId="0" applyFont="1" applyFill="1" applyBorder="1" applyAlignment="1" applyProtection="1">
      <alignment vertical="center" wrapText="1"/>
    </xf>
    <xf numFmtId="43" fontId="20" fillId="0" borderId="0" xfId="0" applyNumberFormat="1" applyFont="1" applyBorder="1" applyProtection="1"/>
    <xf numFmtId="165" fontId="20" fillId="0" borderId="0" xfId="0" applyNumberFormat="1" applyFont="1" applyBorder="1" applyProtection="1"/>
    <xf numFmtId="165" fontId="11" fillId="40" borderId="30" xfId="45" applyFont="1" applyFill="1" applyBorder="1" applyProtection="1">
      <protection hidden="1"/>
    </xf>
    <xf numFmtId="0" fontId="11" fillId="40" borderId="15" xfId="0" applyFont="1" applyFill="1" applyBorder="1" applyAlignment="1" applyProtection="1">
      <alignment horizontal="center" vertical="center"/>
    </xf>
    <xf numFmtId="165" fontId="11" fillId="40" borderId="15" xfId="45" applyFont="1" applyFill="1" applyBorder="1" applyAlignment="1" applyProtection="1">
      <alignment horizontal="center" vertical="center"/>
    </xf>
    <xf numFmtId="0" fontId="11" fillId="40" borderId="13" xfId="0" applyFont="1" applyFill="1" applyBorder="1" applyAlignment="1" applyProtection="1">
      <alignment horizontal="center" vertical="center"/>
    </xf>
    <xf numFmtId="165" fontId="11" fillId="40" borderId="13" xfId="45" applyFont="1" applyFill="1" applyBorder="1" applyAlignment="1" applyProtection="1">
      <alignment horizontal="center" vertical="center"/>
    </xf>
    <xf numFmtId="164" fontId="20" fillId="22" borderId="21" xfId="0" applyNumberFormat="1" applyFont="1" applyFill="1" applyBorder="1" applyAlignment="1" applyProtection="1">
      <alignment horizontal="left" vertical="center"/>
    </xf>
    <xf numFmtId="169" fontId="20" fillId="41" borderId="11" xfId="0" applyNumberFormat="1" applyFont="1" applyFill="1" applyBorder="1" applyAlignment="1" applyProtection="1">
      <alignment horizontal="center" vertical="center"/>
      <protection locked="0"/>
    </xf>
    <xf numFmtId="169" fontId="20" fillId="41" borderId="42" xfId="0" applyNumberFormat="1" applyFont="1" applyFill="1" applyBorder="1" applyAlignment="1" applyProtection="1">
      <alignment horizontal="center" vertical="center"/>
      <protection locked="0"/>
    </xf>
    <xf numFmtId="169" fontId="20" fillId="41" borderId="26" xfId="0" applyNumberFormat="1" applyFont="1" applyFill="1" applyBorder="1" applyAlignment="1" applyProtection="1">
      <alignment horizontal="center" vertical="center"/>
      <protection locked="0"/>
    </xf>
    <xf numFmtId="164" fontId="20" fillId="22" borderId="19" xfId="0" applyNumberFormat="1" applyFont="1" applyFill="1" applyBorder="1" applyAlignment="1" applyProtection="1">
      <alignment horizontal="left" vertical="center"/>
    </xf>
    <xf numFmtId="0" fontId="20" fillId="41" borderId="40" xfId="0" applyFont="1" applyFill="1" applyBorder="1" applyAlignment="1" applyProtection="1">
      <alignment horizontal="center" vertical="center"/>
      <protection locked="0"/>
    </xf>
    <xf numFmtId="164" fontId="20" fillId="22" borderId="18" xfId="0" applyNumberFormat="1" applyFont="1" applyFill="1" applyBorder="1" applyAlignment="1" applyProtection="1">
      <alignment horizontal="left" vertical="center"/>
    </xf>
    <xf numFmtId="0" fontId="20" fillId="41" borderId="41" xfId="0" applyFont="1" applyFill="1" applyBorder="1" applyAlignment="1" applyProtection="1">
      <alignment horizontal="center" vertical="center"/>
      <protection locked="0"/>
    </xf>
    <xf numFmtId="0" fontId="20" fillId="41" borderId="43" xfId="0" applyFont="1" applyFill="1" applyBorder="1" applyAlignment="1" applyProtection="1">
      <alignment horizontal="center" vertical="center"/>
      <protection locked="0"/>
    </xf>
    <xf numFmtId="0" fontId="20" fillId="41" borderId="34" xfId="0" applyFont="1" applyFill="1" applyBorder="1" applyAlignment="1" applyProtection="1">
      <alignment horizontal="center" vertical="center"/>
      <protection locked="0"/>
    </xf>
    <xf numFmtId="0" fontId="11" fillId="41" borderId="13" xfId="0" applyFont="1" applyFill="1" applyBorder="1" applyAlignment="1" applyProtection="1">
      <alignment horizontal="center" vertical="center"/>
      <protection locked="0" hidden="1"/>
    </xf>
    <xf numFmtId="3" fontId="11" fillId="41" borderId="13" xfId="0" applyNumberFormat="1" applyFont="1" applyFill="1" applyBorder="1" applyAlignment="1" applyProtection="1">
      <alignment horizontal="center" vertical="center"/>
      <protection locked="0" hidden="1"/>
    </xf>
    <xf numFmtId="165" fontId="11" fillId="41" borderId="13" xfId="45" applyFont="1" applyFill="1" applyBorder="1" applyAlignment="1" applyProtection="1">
      <alignment horizontal="center" vertical="center"/>
      <protection locked="0" hidden="1"/>
    </xf>
    <xf numFmtId="0" fontId="1" fillId="42" borderId="47" xfId="0" applyFont="1" applyFill="1" applyBorder="1" applyAlignment="1" applyProtection="1">
      <alignment horizontal="center" vertical="center" wrapText="1"/>
      <protection locked="0" hidden="1"/>
    </xf>
    <xf numFmtId="167" fontId="1" fillId="0" borderId="13" xfId="0" applyNumberFormat="1" applyFont="1" applyFill="1" applyBorder="1" applyAlignment="1">
      <alignment horizontal="center" vertical="center"/>
    </xf>
    <xf numFmtId="4" fontId="1" fillId="0" borderId="13" xfId="0" applyNumberFormat="1" applyFont="1" applyFill="1" applyBorder="1" applyAlignment="1">
      <alignment horizontal="center" vertical="center"/>
    </xf>
    <xf numFmtId="1" fontId="0" fillId="0" borderId="13" xfId="0" applyNumberFormat="1" applyFill="1" applyBorder="1" applyAlignment="1">
      <alignment horizontal="center" vertical="center"/>
    </xf>
    <xf numFmtId="3" fontId="0" fillId="0" borderId="13" xfId="0" applyNumberFormat="1" applyBorder="1" applyAlignment="1">
      <alignment horizontal="center" vertical="center"/>
    </xf>
    <xf numFmtId="3" fontId="1" fillId="0" borderId="13" xfId="0" applyNumberFormat="1" applyFont="1" applyFill="1" applyBorder="1" applyAlignment="1">
      <alignment horizontal="center" vertical="center"/>
    </xf>
    <xf numFmtId="0" fontId="11" fillId="0" borderId="0" xfId="0" applyFont="1" applyBorder="1" applyAlignment="1">
      <alignment horizontal="right" vertical="center"/>
    </xf>
    <xf numFmtId="0" fontId="0" fillId="24" borderId="39" xfId="0" applyFill="1" applyBorder="1" applyAlignment="1" applyProtection="1">
      <alignment vertical="center"/>
    </xf>
    <xf numFmtId="0" fontId="0" fillId="0" borderId="0" xfId="0" applyAlignment="1" applyProtection="1">
      <alignment horizontal="left" vertical="center"/>
    </xf>
    <xf numFmtId="0" fontId="11" fillId="41" borderId="27" xfId="0" applyFont="1" applyFill="1" applyBorder="1" applyAlignment="1" applyProtection="1">
      <alignment vertical="center"/>
      <protection locked="0"/>
    </xf>
    <xf numFmtId="0" fontId="11" fillId="41" borderId="13" xfId="0" applyFont="1" applyFill="1" applyBorder="1" applyAlignment="1" applyProtection="1">
      <alignment vertical="center"/>
      <protection locked="0"/>
    </xf>
    <xf numFmtId="0" fontId="11" fillId="41" borderId="30" xfId="0" applyFont="1" applyFill="1" applyBorder="1" applyAlignment="1" applyProtection="1">
      <alignment vertical="center"/>
      <protection locked="0"/>
    </xf>
    <xf numFmtId="0" fontId="11" fillId="41" borderId="27" xfId="0" applyFont="1" applyFill="1" applyBorder="1" applyAlignment="1" applyProtection="1">
      <alignment horizontal="right" vertical="center"/>
      <protection locked="0"/>
    </xf>
    <xf numFmtId="0" fontId="11" fillId="0" borderId="49" xfId="0" applyFont="1" applyBorder="1" applyAlignment="1">
      <alignment vertical="center"/>
    </xf>
    <xf numFmtId="0" fontId="11" fillId="0" borderId="54" xfId="0" applyFont="1" applyBorder="1" applyAlignment="1">
      <alignment vertical="center"/>
    </xf>
    <xf numFmtId="0" fontId="50" fillId="0" borderId="0" xfId="0" applyFont="1" applyBorder="1"/>
    <xf numFmtId="0" fontId="0" fillId="0" borderId="42" xfId="0" applyBorder="1" applyAlignment="1">
      <alignment horizontal="center" vertical="center"/>
    </xf>
    <xf numFmtId="0" fontId="26" fillId="21" borderId="39" xfId="0" applyFont="1" applyFill="1" applyBorder="1" applyAlignment="1">
      <alignment horizontal="center"/>
    </xf>
    <xf numFmtId="0" fontId="26" fillId="21" borderId="57" xfId="0" applyFont="1" applyFill="1" applyBorder="1" applyAlignment="1">
      <alignment horizontal="center"/>
    </xf>
    <xf numFmtId="0" fontId="26" fillId="21" borderId="29" xfId="0" applyFont="1" applyFill="1" applyBorder="1" applyAlignment="1">
      <alignment horizontal="center"/>
    </xf>
    <xf numFmtId="0" fontId="21" fillId="43" borderId="39" xfId="0" applyFont="1" applyFill="1" applyBorder="1" applyAlignment="1" applyProtection="1">
      <alignment horizontal="center" vertical="center"/>
    </xf>
    <xf numFmtId="0" fontId="21" fillId="43" borderId="29" xfId="0" applyFont="1" applyFill="1" applyBorder="1" applyAlignment="1" applyProtection="1">
      <alignment horizontal="center" vertical="center"/>
    </xf>
    <xf numFmtId="0" fontId="11" fillId="0" borderId="39" xfId="0" applyFont="1" applyBorder="1" applyAlignment="1" applyProtection="1">
      <alignment horizontal="left" vertical="center"/>
    </xf>
    <xf numFmtId="0" fontId="11" fillId="0" borderId="29" xfId="0" applyFont="1" applyBorder="1" applyAlignment="1" applyProtection="1">
      <alignment horizontal="left" vertical="center"/>
    </xf>
    <xf numFmtId="0" fontId="20" fillId="41" borderId="10" xfId="0" applyFont="1" applyFill="1" applyBorder="1" applyAlignment="1" applyProtection="1">
      <alignment horizontal="left" vertical="top" wrapText="1"/>
      <protection locked="0"/>
    </xf>
    <xf numFmtId="0" fontId="20" fillId="41" borderId="12" xfId="0" applyFont="1" applyFill="1" applyBorder="1" applyAlignment="1" applyProtection="1">
      <alignment horizontal="left" vertical="top" wrapText="1"/>
      <protection locked="0"/>
    </xf>
    <xf numFmtId="0" fontId="20" fillId="41" borderId="20" xfId="0" applyFont="1" applyFill="1" applyBorder="1" applyAlignment="1" applyProtection="1">
      <alignment horizontal="left" vertical="top" wrapText="1"/>
      <protection locked="0"/>
    </xf>
    <xf numFmtId="0" fontId="20" fillId="41" borderId="51" xfId="0" applyFont="1" applyFill="1" applyBorder="1" applyAlignment="1" applyProtection="1">
      <alignment horizontal="left" vertical="top" wrapText="1"/>
      <protection locked="0"/>
    </xf>
    <xf numFmtId="0" fontId="151" fillId="0" borderId="0" xfId="0" applyFont="1" applyBorder="1" applyAlignment="1">
      <alignment horizontal="center" vertical="center"/>
    </xf>
    <xf numFmtId="0" fontId="11" fillId="0" borderId="57" xfId="0" applyFont="1" applyBorder="1" applyAlignment="1" applyProtection="1">
      <alignment horizontal="left" vertical="center"/>
    </xf>
    <xf numFmtId="0" fontId="11" fillId="41" borderId="45" xfId="0" applyFont="1" applyFill="1" applyBorder="1" applyAlignment="1" applyProtection="1">
      <alignment horizontal="center" vertical="top" wrapText="1"/>
      <protection locked="0"/>
    </xf>
    <xf numFmtId="0" fontId="11" fillId="41" borderId="44" xfId="0" applyFont="1" applyFill="1" applyBorder="1" applyAlignment="1" applyProtection="1">
      <alignment horizontal="center" vertical="top" wrapText="1"/>
      <protection locked="0"/>
    </xf>
    <xf numFmtId="0" fontId="11" fillId="41" borderId="50" xfId="0" applyFont="1" applyFill="1" applyBorder="1" applyAlignment="1" applyProtection="1">
      <alignment horizontal="center" vertical="top" wrapText="1"/>
      <protection locked="0"/>
    </xf>
    <xf numFmtId="0" fontId="11" fillId="41" borderId="10" xfId="0" applyFont="1" applyFill="1" applyBorder="1" applyAlignment="1" applyProtection="1">
      <alignment horizontal="center" vertical="top" wrapText="1"/>
      <protection locked="0"/>
    </xf>
    <xf numFmtId="0" fontId="11" fillId="41" borderId="0" xfId="0" applyFont="1" applyFill="1" applyBorder="1" applyAlignment="1" applyProtection="1">
      <alignment horizontal="center" vertical="top" wrapText="1"/>
      <protection locked="0"/>
    </xf>
    <xf numFmtId="0" fontId="11" fillId="41" borderId="12" xfId="0" applyFont="1" applyFill="1" applyBorder="1" applyAlignment="1" applyProtection="1">
      <alignment horizontal="center" vertical="top" wrapText="1"/>
      <protection locked="0"/>
    </xf>
    <xf numFmtId="0" fontId="11" fillId="41" borderId="20" xfId="0" applyFont="1" applyFill="1" applyBorder="1" applyAlignment="1" applyProtection="1">
      <alignment horizontal="center" vertical="top" wrapText="1"/>
      <protection locked="0"/>
    </xf>
    <xf numFmtId="0" fontId="11" fillId="41" borderId="17" xfId="0" applyFont="1" applyFill="1" applyBorder="1" applyAlignment="1" applyProtection="1">
      <alignment horizontal="center" vertical="top" wrapText="1"/>
      <protection locked="0"/>
    </xf>
    <xf numFmtId="0" fontId="11" fillId="41" borderId="51" xfId="0" applyFont="1" applyFill="1" applyBorder="1" applyAlignment="1" applyProtection="1">
      <alignment horizontal="center" vertical="top" wrapText="1"/>
      <protection locked="0"/>
    </xf>
    <xf numFmtId="0" fontId="24" fillId="22" borderId="44" xfId="0" applyFont="1" applyFill="1" applyBorder="1" applyAlignment="1" applyProtection="1">
      <alignment horizontal="center"/>
    </xf>
    <xf numFmtId="0" fontId="24" fillId="22" borderId="50" xfId="0" applyFont="1" applyFill="1" applyBorder="1" applyAlignment="1" applyProtection="1">
      <alignment horizontal="center"/>
    </xf>
    <xf numFmtId="0" fontId="21" fillId="42" borderId="24" xfId="0" applyFont="1" applyFill="1" applyBorder="1" applyAlignment="1" applyProtection="1">
      <alignment horizontal="center" vertical="center"/>
    </xf>
    <xf numFmtId="0" fontId="21" fillId="42" borderId="48" xfId="0" applyFont="1" applyFill="1" applyBorder="1" applyAlignment="1" applyProtection="1">
      <alignment horizontal="center" vertical="center"/>
    </xf>
    <xf numFmtId="0" fontId="21" fillId="0" borderId="49" xfId="0" applyFont="1" applyFill="1" applyBorder="1" applyAlignment="1" applyProtection="1">
      <alignment horizontal="center" vertical="center" wrapText="1"/>
    </xf>
    <xf numFmtId="0" fontId="21" fillId="0" borderId="91" xfId="0" applyFont="1" applyFill="1" applyBorder="1" applyAlignment="1" applyProtection="1">
      <alignment horizontal="center" vertical="center" wrapText="1"/>
    </xf>
    <xf numFmtId="0" fontId="21" fillId="0" borderId="54" xfId="0" applyFont="1" applyFill="1" applyBorder="1" applyAlignment="1" applyProtection="1">
      <alignment horizontal="center" vertical="center"/>
    </xf>
    <xf numFmtId="0" fontId="21" fillId="42" borderId="49" xfId="0" applyFont="1" applyFill="1" applyBorder="1" applyAlignment="1" applyProtection="1">
      <alignment horizontal="center" vertical="center"/>
    </xf>
    <xf numFmtId="0" fontId="21" fillId="42" borderId="54" xfId="0" applyFont="1" applyFill="1" applyBorder="1" applyAlignment="1" applyProtection="1">
      <alignment horizontal="center" vertical="center"/>
    </xf>
    <xf numFmtId="0" fontId="21" fillId="0" borderId="54" xfId="0" applyFont="1" applyFill="1" applyBorder="1" applyAlignment="1" applyProtection="1">
      <alignment horizontal="center" vertical="center" wrapText="1"/>
    </xf>
    <xf numFmtId="0" fontId="20" fillId="41" borderId="36" xfId="0" applyFont="1" applyFill="1" applyBorder="1" applyAlignment="1" applyProtection="1">
      <alignment horizontal="center" vertical="center"/>
      <protection locked="0"/>
    </xf>
    <xf numFmtId="0" fontId="20" fillId="41" borderId="75" xfId="0" applyFont="1" applyFill="1" applyBorder="1" applyAlignment="1" applyProtection="1">
      <alignment horizontal="center" vertical="center"/>
      <protection locked="0"/>
    </xf>
    <xf numFmtId="0" fontId="20" fillId="0" borderId="44"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0" borderId="50" xfId="0" applyFont="1" applyFill="1" applyBorder="1" applyAlignment="1" applyProtection="1">
      <alignment horizontal="center" vertical="center"/>
    </xf>
    <xf numFmtId="0" fontId="20" fillId="0" borderId="51" xfId="0" applyFont="1" applyFill="1" applyBorder="1" applyAlignment="1" applyProtection="1">
      <alignment horizontal="center" vertical="center"/>
    </xf>
    <xf numFmtId="0" fontId="20" fillId="0" borderId="49" xfId="0" applyFont="1" applyBorder="1" applyAlignment="1" applyProtection="1">
      <alignment horizontal="center" vertical="center"/>
    </xf>
    <xf numFmtId="0" fontId="20" fillId="0" borderId="54" xfId="0" applyFont="1" applyBorder="1" applyAlignment="1" applyProtection="1">
      <alignment horizontal="center" vertical="center"/>
    </xf>
    <xf numFmtId="0" fontId="142" fillId="39" borderId="45" xfId="0" applyFont="1" applyFill="1" applyBorder="1" applyAlignment="1" applyProtection="1">
      <alignment horizontal="center" vertical="center" wrapText="1"/>
    </xf>
    <xf numFmtId="0" fontId="142" fillId="39" borderId="50" xfId="0" applyFont="1" applyFill="1" applyBorder="1" applyAlignment="1" applyProtection="1">
      <alignment horizontal="center" vertical="center" wrapText="1"/>
    </xf>
    <xf numFmtId="0" fontId="142" fillId="39" borderId="10" xfId="0" applyFont="1" applyFill="1" applyBorder="1" applyAlignment="1" applyProtection="1">
      <alignment horizontal="center" vertical="center" wrapText="1"/>
    </xf>
    <xf numFmtId="0" fontId="142" fillId="39" borderId="12" xfId="0" applyFont="1" applyFill="1" applyBorder="1" applyAlignment="1" applyProtection="1">
      <alignment horizontal="center" vertical="center" wrapText="1"/>
    </xf>
    <xf numFmtId="0" fontId="142" fillId="39" borderId="20" xfId="0" applyFont="1" applyFill="1" applyBorder="1" applyAlignment="1" applyProtection="1">
      <alignment horizontal="center" vertical="center" wrapText="1"/>
    </xf>
    <xf numFmtId="0" fontId="142" fillId="39" borderId="51" xfId="0" applyFont="1" applyFill="1" applyBorder="1" applyAlignment="1" applyProtection="1">
      <alignment horizontal="center" vertical="center" wrapText="1"/>
    </xf>
    <xf numFmtId="173" fontId="142" fillId="39" borderId="45" xfId="35" applyNumberFormat="1" applyFont="1" applyFill="1" applyBorder="1" applyAlignment="1" applyProtection="1">
      <alignment horizontal="center" vertical="center"/>
    </xf>
    <xf numFmtId="173" fontId="142" fillId="39" borderId="50" xfId="35" applyNumberFormat="1" applyFont="1" applyFill="1" applyBorder="1" applyAlignment="1" applyProtection="1">
      <alignment horizontal="center" vertical="center"/>
    </xf>
    <xf numFmtId="173" fontId="142" fillId="39" borderId="10" xfId="35" applyNumberFormat="1" applyFont="1" applyFill="1" applyBorder="1" applyAlignment="1" applyProtection="1">
      <alignment horizontal="center" vertical="center"/>
    </xf>
    <xf numFmtId="173" fontId="142" fillId="39" borderId="12" xfId="35" applyNumberFormat="1" applyFont="1" applyFill="1" applyBorder="1" applyAlignment="1" applyProtection="1">
      <alignment horizontal="center" vertical="center"/>
    </xf>
    <xf numFmtId="173" fontId="142" fillId="39" borderId="20" xfId="35" applyNumberFormat="1" applyFont="1" applyFill="1" applyBorder="1" applyAlignment="1" applyProtection="1">
      <alignment horizontal="center" vertical="center"/>
    </xf>
    <xf numFmtId="173" fontId="142" fillId="39" borderId="51" xfId="35" applyNumberFormat="1" applyFont="1" applyFill="1" applyBorder="1" applyAlignment="1" applyProtection="1">
      <alignment horizontal="center" vertical="center"/>
    </xf>
    <xf numFmtId="0" fontId="20" fillId="18" borderId="45" xfId="0" applyFont="1" applyFill="1" applyBorder="1" applyAlignment="1" applyProtection="1">
      <alignment horizontal="center" vertical="center"/>
    </xf>
    <xf numFmtId="0" fontId="20" fillId="18" borderId="50" xfId="0" applyFont="1" applyFill="1" applyBorder="1" applyAlignment="1" applyProtection="1">
      <alignment horizontal="center" vertical="center"/>
    </xf>
    <xf numFmtId="0" fontId="20" fillId="18" borderId="10" xfId="0" applyFont="1" applyFill="1" applyBorder="1" applyAlignment="1" applyProtection="1">
      <alignment horizontal="center" vertical="center"/>
    </xf>
    <xf numFmtId="0" fontId="20" fillId="18" borderId="12" xfId="0" applyFont="1" applyFill="1" applyBorder="1" applyAlignment="1" applyProtection="1">
      <alignment horizontal="center" vertical="center"/>
    </xf>
    <xf numFmtId="0" fontId="21" fillId="20" borderId="39" xfId="0" applyFont="1" applyFill="1" applyBorder="1" applyAlignment="1" applyProtection="1">
      <alignment horizontal="center" vertical="center"/>
    </xf>
    <xf numFmtId="0" fontId="21" fillId="20" borderId="57" xfId="0" applyFont="1" applyFill="1" applyBorder="1" applyAlignment="1" applyProtection="1">
      <alignment horizontal="center" vertical="center"/>
    </xf>
    <xf numFmtId="0" fontId="21" fillId="20" borderId="29" xfId="0" applyFont="1" applyFill="1" applyBorder="1" applyAlignment="1" applyProtection="1">
      <alignment horizontal="center" vertical="center"/>
    </xf>
    <xf numFmtId="0" fontId="21" fillId="22" borderId="49" xfId="0" applyFont="1" applyFill="1" applyBorder="1" applyAlignment="1" applyProtection="1">
      <alignment horizontal="center" vertical="center" wrapText="1"/>
    </xf>
    <xf numFmtId="0" fontId="21" fillId="22" borderId="91" xfId="0" applyFont="1" applyFill="1" applyBorder="1" applyAlignment="1" applyProtection="1">
      <alignment horizontal="center" vertical="center" wrapText="1"/>
    </xf>
    <xf numFmtId="0" fontId="21" fillId="22" borderId="54" xfId="0" applyFont="1" applyFill="1" applyBorder="1" applyAlignment="1" applyProtection="1">
      <alignment horizontal="center" vertical="center" wrapText="1"/>
    </xf>
    <xf numFmtId="0" fontId="21" fillId="42" borderId="39" xfId="0" applyFont="1" applyFill="1" applyBorder="1" applyAlignment="1" applyProtection="1">
      <alignment horizontal="center" vertical="center"/>
    </xf>
    <xf numFmtId="0" fontId="21" fillId="42" borderId="57" xfId="0" applyFont="1" applyFill="1" applyBorder="1" applyAlignment="1" applyProtection="1">
      <alignment horizontal="center" vertical="center"/>
    </xf>
    <xf numFmtId="0" fontId="21" fillId="42" borderId="49" xfId="0" applyFont="1" applyFill="1" applyBorder="1" applyAlignment="1" applyProtection="1">
      <alignment horizontal="center" vertical="center" wrapText="1"/>
    </xf>
    <xf numFmtId="0" fontId="21" fillId="42" borderId="91" xfId="0" applyFont="1" applyFill="1" applyBorder="1" applyAlignment="1" applyProtection="1">
      <alignment horizontal="center" vertical="center" wrapText="1"/>
    </xf>
    <xf numFmtId="0" fontId="20" fillId="0" borderId="49" xfId="0" applyFont="1" applyBorder="1" applyAlignment="1" applyProtection="1">
      <alignment horizontal="center"/>
    </xf>
    <xf numFmtId="0" fontId="20" fillId="0" borderId="54" xfId="0" applyFont="1" applyBorder="1" applyAlignment="1" applyProtection="1">
      <alignment horizontal="center"/>
    </xf>
    <xf numFmtId="0" fontId="21" fillId="21" borderId="39" xfId="0" applyFont="1" applyFill="1" applyBorder="1" applyAlignment="1" applyProtection="1">
      <alignment horizontal="center" vertical="center"/>
    </xf>
    <xf numFmtId="0" fontId="21" fillId="21" borderId="57" xfId="0" applyFont="1" applyFill="1" applyBorder="1" applyAlignment="1" applyProtection="1">
      <alignment horizontal="center" vertical="center"/>
    </xf>
    <xf numFmtId="0" fontId="21" fillId="21" borderId="29" xfId="0" applyFont="1" applyFill="1" applyBorder="1" applyAlignment="1" applyProtection="1">
      <alignment horizontal="center" vertical="center"/>
    </xf>
    <xf numFmtId="167" fontId="21" fillId="21" borderId="39" xfId="0" applyNumberFormat="1" applyFont="1" applyFill="1" applyBorder="1" applyAlignment="1" applyProtection="1">
      <alignment horizontal="center" vertical="center"/>
    </xf>
    <xf numFmtId="167" fontId="21" fillId="21" borderId="29" xfId="0" applyNumberFormat="1" applyFont="1" applyFill="1" applyBorder="1" applyAlignment="1" applyProtection="1">
      <alignment horizontal="center" vertical="center"/>
    </xf>
    <xf numFmtId="167" fontId="21" fillId="21" borderId="57" xfId="0" applyNumberFormat="1" applyFont="1" applyFill="1" applyBorder="1" applyAlignment="1" applyProtection="1">
      <alignment horizontal="center" vertical="center"/>
    </xf>
    <xf numFmtId="0" fontId="11" fillId="24" borderId="57" xfId="0" applyFont="1" applyFill="1" applyBorder="1" applyAlignment="1" applyProtection="1">
      <alignment horizontal="center" vertical="center"/>
    </xf>
    <xf numFmtId="0" fontId="11" fillId="41" borderId="10" xfId="0" applyFont="1" applyFill="1" applyBorder="1" applyAlignment="1" applyProtection="1">
      <alignment horizontal="left" vertical="top" wrapText="1"/>
      <protection locked="0"/>
    </xf>
    <xf numFmtId="0" fontId="11" fillId="41" borderId="0" xfId="0" applyFont="1" applyFill="1" applyBorder="1" applyAlignment="1" applyProtection="1">
      <alignment horizontal="left" vertical="top" wrapText="1"/>
      <protection locked="0"/>
    </xf>
    <xf numFmtId="0" fontId="11" fillId="41" borderId="12" xfId="0" applyFont="1" applyFill="1" applyBorder="1" applyAlignment="1" applyProtection="1">
      <alignment horizontal="left" vertical="top" wrapText="1"/>
      <protection locked="0"/>
    </xf>
    <xf numFmtId="0" fontId="11" fillId="41" borderId="20" xfId="0" applyFont="1" applyFill="1" applyBorder="1" applyAlignment="1" applyProtection="1">
      <alignment horizontal="left" vertical="top" wrapText="1"/>
      <protection locked="0"/>
    </xf>
    <xf numFmtId="0" fontId="11" fillId="41" borderId="17" xfId="0" applyFont="1" applyFill="1" applyBorder="1" applyAlignment="1" applyProtection="1">
      <alignment horizontal="left" vertical="top" wrapText="1"/>
      <protection locked="0"/>
    </xf>
    <xf numFmtId="0" fontId="11" fillId="41" borderId="51" xfId="0" applyFont="1" applyFill="1" applyBorder="1" applyAlignment="1" applyProtection="1">
      <alignment horizontal="left" vertical="top" wrapText="1"/>
      <protection locked="0"/>
    </xf>
    <xf numFmtId="0" fontId="21" fillId="24" borderId="39" xfId="0" applyFont="1" applyFill="1" applyBorder="1" applyAlignment="1" applyProtection="1">
      <alignment horizontal="center"/>
    </xf>
    <xf numFmtId="0" fontId="21" fillId="24" borderId="57" xfId="0" applyFont="1" applyFill="1" applyBorder="1" applyAlignment="1" applyProtection="1">
      <alignment horizontal="center"/>
    </xf>
    <xf numFmtId="0" fontId="21" fillId="24" borderId="29" xfId="0" applyFont="1" applyFill="1" applyBorder="1" applyAlignment="1" applyProtection="1">
      <alignment horizontal="center"/>
    </xf>
    <xf numFmtId="0" fontId="63" fillId="24" borderId="13" xfId="0" applyFont="1" applyFill="1" applyBorder="1" applyAlignment="1" applyProtection="1">
      <alignment horizontal="center" vertical="center"/>
    </xf>
    <xf numFmtId="0" fontId="21" fillId="45" borderId="39" xfId="0" applyFont="1" applyFill="1" applyBorder="1" applyAlignment="1" applyProtection="1">
      <alignment horizontal="center" vertical="center"/>
    </xf>
    <xf numFmtId="0" fontId="21" fillId="45" borderId="57" xfId="0" applyFont="1" applyFill="1" applyBorder="1" applyAlignment="1" applyProtection="1">
      <alignment horizontal="center" vertical="center"/>
    </xf>
    <xf numFmtId="0" fontId="21" fillId="45" borderId="29" xfId="0" applyFont="1" applyFill="1" applyBorder="1" applyAlignment="1" applyProtection="1">
      <alignment horizontal="center" vertical="center"/>
    </xf>
    <xf numFmtId="0" fontId="21" fillId="24" borderId="13" xfId="0" applyFont="1" applyFill="1" applyBorder="1" applyAlignment="1" applyProtection="1">
      <alignment horizontal="center" vertical="center"/>
    </xf>
    <xf numFmtId="0" fontId="24" fillId="22" borderId="39" xfId="0" applyFont="1" applyFill="1" applyBorder="1" applyAlignment="1" applyProtection="1">
      <alignment horizontal="center" vertical="center"/>
    </xf>
    <xf numFmtId="0" fontId="24" fillId="22" borderId="29" xfId="0" applyFont="1" applyFill="1" applyBorder="1" applyAlignment="1" applyProtection="1">
      <alignment horizontal="center" vertical="center"/>
    </xf>
    <xf numFmtId="0" fontId="1" fillId="39" borderId="49" xfId="0" applyFont="1" applyFill="1" applyBorder="1" applyAlignment="1" applyProtection="1">
      <alignment horizontal="center" vertical="center" wrapText="1"/>
    </xf>
    <xf numFmtId="0" fontId="1" fillId="39" borderId="77" xfId="0" applyFont="1" applyFill="1" applyBorder="1" applyAlignment="1" applyProtection="1">
      <alignment horizontal="center" vertical="center" wrapText="1"/>
    </xf>
    <xf numFmtId="0" fontId="27" fillId="22" borderId="39" xfId="0" applyFont="1" applyFill="1" applyBorder="1" applyAlignment="1" applyProtection="1">
      <alignment horizontal="center" vertical="center"/>
    </xf>
    <xf numFmtId="0" fontId="27" fillId="22" borderId="57" xfId="0" applyFont="1" applyFill="1" applyBorder="1" applyAlignment="1" applyProtection="1">
      <alignment horizontal="center" vertical="center"/>
    </xf>
    <xf numFmtId="0" fontId="20" fillId="0" borderId="39" xfId="0" applyFont="1" applyBorder="1" applyAlignment="1" applyProtection="1">
      <alignment horizontal="left" vertical="center"/>
    </xf>
    <xf numFmtId="0" fontId="20" fillId="0" borderId="57" xfId="0" applyFont="1" applyBorder="1" applyAlignment="1" applyProtection="1">
      <alignment horizontal="left" vertical="center"/>
    </xf>
    <xf numFmtId="0" fontId="20" fillId="0" borderId="29" xfId="0" applyFont="1" applyBorder="1" applyAlignment="1" applyProtection="1">
      <alignment horizontal="left" vertical="center"/>
    </xf>
    <xf numFmtId="0" fontId="21" fillId="42" borderId="29" xfId="0" applyFont="1" applyFill="1" applyBorder="1" applyAlignment="1" applyProtection="1">
      <alignment horizontal="center" vertical="center"/>
    </xf>
    <xf numFmtId="4" fontId="21" fillId="21" borderId="39" xfId="0" applyNumberFormat="1" applyFont="1" applyFill="1" applyBorder="1" applyAlignment="1" applyProtection="1">
      <alignment horizontal="center" vertical="center"/>
    </xf>
    <xf numFmtId="4" fontId="21" fillId="21" borderId="29" xfId="0" applyNumberFormat="1" applyFont="1" applyFill="1" applyBorder="1" applyAlignment="1" applyProtection="1">
      <alignment horizontal="center" vertical="center"/>
    </xf>
    <xf numFmtId="4" fontId="20" fillId="44" borderId="70" xfId="0" applyNumberFormat="1" applyFont="1" applyFill="1" applyBorder="1" applyAlignment="1" applyProtection="1">
      <alignment horizontal="center" vertical="center"/>
    </xf>
    <xf numFmtId="4" fontId="20" fillId="44" borderId="63" xfId="0" applyNumberFormat="1" applyFont="1" applyFill="1" applyBorder="1" applyAlignment="1" applyProtection="1">
      <alignment horizontal="center" vertical="center"/>
    </xf>
    <xf numFmtId="4" fontId="20" fillId="44" borderId="61" xfId="0" applyNumberFormat="1" applyFont="1" applyFill="1" applyBorder="1" applyAlignment="1" applyProtection="1">
      <alignment horizontal="center" vertical="center"/>
    </xf>
    <xf numFmtId="4" fontId="20" fillId="44" borderId="92" xfId="0" applyNumberFormat="1" applyFont="1" applyFill="1" applyBorder="1" applyAlignment="1" applyProtection="1">
      <alignment horizontal="center" vertical="center"/>
    </xf>
    <xf numFmtId="0" fontId="21" fillId="20" borderId="61" xfId="0" applyFont="1" applyFill="1" applyBorder="1" applyAlignment="1" applyProtection="1">
      <alignment horizontal="center"/>
    </xf>
    <xf numFmtId="0" fontId="21" fillId="20" borderId="27" xfId="0" applyFont="1" applyFill="1" applyBorder="1" applyAlignment="1" applyProtection="1">
      <alignment horizontal="center"/>
    </xf>
    <xf numFmtId="0" fontId="21" fillId="42" borderId="53" xfId="0" applyFont="1" applyFill="1" applyBorder="1" applyAlignment="1" applyProtection="1">
      <alignment horizontal="center" vertical="center"/>
    </xf>
    <xf numFmtId="0" fontId="21" fillId="42" borderId="65" xfId="0" applyFont="1" applyFill="1" applyBorder="1" applyAlignment="1" applyProtection="1">
      <alignment horizontal="center" vertical="center"/>
    </xf>
    <xf numFmtId="4" fontId="21" fillId="44" borderId="39" xfId="0" applyNumberFormat="1" applyFont="1" applyFill="1" applyBorder="1" applyAlignment="1" applyProtection="1">
      <alignment horizontal="center" vertical="center"/>
    </xf>
    <xf numFmtId="4" fontId="21" fillId="44" borderId="29" xfId="0" applyNumberFormat="1" applyFont="1" applyFill="1" applyBorder="1" applyAlignment="1" applyProtection="1">
      <alignment horizontal="center" vertical="center"/>
    </xf>
    <xf numFmtId="0" fontId="20" fillId="20" borderId="10" xfId="0" applyFont="1" applyFill="1" applyBorder="1" applyAlignment="1" applyProtection="1">
      <alignment horizontal="center"/>
    </xf>
    <xf numFmtId="0" fontId="20" fillId="20" borderId="12" xfId="0" applyFont="1" applyFill="1" applyBorder="1" applyAlignment="1" applyProtection="1">
      <alignment horizontal="center"/>
    </xf>
    <xf numFmtId="0" fontId="29" fillId="20" borderId="39" xfId="0" applyFont="1" applyFill="1" applyBorder="1" applyAlignment="1" applyProtection="1">
      <alignment horizontal="center"/>
    </xf>
    <xf numFmtId="0" fontId="29" fillId="20" borderId="57" xfId="0" applyFont="1" applyFill="1" applyBorder="1" applyAlignment="1" applyProtection="1">
      <alignment horizontal="center"/>
    </xf>
    <xf numFmtId="0" fontId="29" fillId="20" borderId="29" xfId="0" applyFont="1" applyFill="1" applyBorder="1" applyAlignment="1" applyProtection="1">
      <alignment horizontal="center"/>
    </xf>
    <xf numFmtId="0" fontId="20" fillId="20" borderId="45" xfId="0" applyFont="1" applyFill="1" applyBorder="1" applyAlignment="1" applyProtection="1">
      <alignment horizontal="center"/>
    </xf>
    <xf numFmtId="0" fontId="20" fillId="20" borderId="50" xfId="0" applyFont="1" applyFill="1" applyBorder="1" applyAlignment="1" applyProtection="1">
      <alignment horizontal="center"/>
    </xf>
    <xf numFmtId="0" fontId="21" fillId="20" borderId="19" xfId="0" applyFont="1" applyFill="1" applyBorder="1" applyAlignment="1" applyProtection="1">
      <alignment horizontal="center" vertical="center"/>
    </xf>
    <xf numFmtId="0" fontId="21" fillId="20" borderId="39" xfId="0" applyFont="1" applyFill="1" applyBorder="1" applyAlignment="1" applyProtection="1">
      <alignment horizontal="center"/>
    </xf>
    <xf numFmtId="0" fontId="21" fillId="20" borderId="57" xfId="0" applyFont="1" applyFill="1" applyBorder="1" applyAlignment="1" applyProtection="1">
      <alignment horizontal="center"/>
    </xf>
    <xf numFmtId="0" fontId="21" fillId="20" borderId="29" xfId="0" applyFont="1" applyFill="1" applyBorder="1" applyAlignment="1" applyProtection="1">
      <alignment horizontal="center"/>
    </xf>
    <xf numFmtId="0" fontId="21" fillId="20" borderId="91" xfId="0" applyFont="1" applyFill="1" applyBorder="1" applyAlignment="1" applyProtection="1">
      <alignment horizontal="center" vertical="center" wrapText="1"/>
    </xf>
    <xf numFmtId="0" fontId="21" fillId="20" borderId="54" xfId="0" applyFont="1" applyFill="1" applyBorder="1" applyAlignment="1" applyProtection="1">
      <alignment horizontal="center" vertical="center" wrapText="1"/>
    </xf>
    <xf numFmtId="0" fontId="21" fillId="20" borderId="91" xfId="0" applyFont="1" applyFill="1" applyBorder="1" applyAlignment="1" applyProtection="1">
      <alignment horizontal="center" vertical="center"/>
    </xf>
    <xf numFmtId="0" fontId="21" fillId="20" borderId="54" xfId="0" applyFont="1" applyFill="1" applyBorder="1" applyAlignment="1" applyProtection="1">
      <alignment horizontal="center" vertical="center"/>
    </xf>
    <xf numFmtId="0" fontId="21" fillId="20" borderId="70" xfId="0" applyFont="1" applyFill="1" applyBorder="1" applyAlignment="1" applyProtection="1">
      <alignment horizontal="center" wrapText="1"/>
    </xf>
    <xf numFmtId="0" fontId="21" fillId="20" borderId="68" xfId="0" applyFont="1" applyFill="1" applyBorder="1" applyAlignment="1" applyProtection="1">
      <alignment horizontal="center" wrapText="1"/>
    </xf>
    <xf numFmtId="0" fontId="20" fillId="41" borderId="73" xfId="0" applyFont="1" applyFill="1" applyBorder="1" applyAlignment="1" applyProtection="1">
      <alignment horizontal="center" vertical="center" wrapText="1"/>
      <protection locked="0"/>
    </xf>
    <xf numFmtId="0" fontId="29" fillId="42" borderId="82" xfId="0" applyFont="1" applyFill="1" applyBorder="1" applyAlignment="1" applyProtection="1">
      <alignment horizontal="center" vertical="center"/>
    </xf>
    <xf numFmtId="0" fontId="29" fillId="42" borderId="63" xfId="0" applyFont="1" applyFill="1" applyBorder="1" applyAlignment="1" applyProtection="1">
      <alignment horizontal="center" vertical="center"/>
    </xf>
    <xf numFmtId="0" fontId="21" fillId="42" borderId="15" xfId="0" applyFont="1" applyFill="1" applyBorder="1" applyAlignment="1" applyProtection="1">
      <alignment horizontal="center" vertical="center" wrapText="1"/>
    </xf>
    <xf numFmtId="0" fontId="21" fillId="42" borderId="14" xfId="0" applyFont="1" applyFill="1" applyBorder="1" applyAlignment="1" applyProtection="1">
      <alignment horizontal="center" vertical="center" wrapText="1"/>
    </xf>
    <xf numFmtId="0" fontId="21" fillId="42" borderId="39" xfId="0" applyFont="1" applyFill="1" applyBorder="1" applyAlignment="1" applyProtection="1">
      <alignment horizontal="center" vertical="center" wrapText="1"/>
    </xf>
    <xf numFmtId="0" fontId="21" fillId="42" borderId="29" xfId="0" applyFont="1" applyFill="1" applyBorder="1" applyAlignment="1" applyProtection="1">
      <alignment horizontal="center" vertical="center" wrapText="1"/>
    </xf>
    <xf numFmtId="0" fontId="20" fillId="41" borderId="72" xfId="0" applyFont="1" applyFill="1" applyBorder="1" applyAlignment="1" applyProtection="1">
      <alignment horizontal="center" vertical="center" wrapText="1"/>
      <protection locked="0"/>
    </xf>
    <xf numFmtId="165" fontId="20" fillId="41" borderId="92" xfId="45" applyFont="1" applyFill="1" applyBorder="1" applyAlignment="1" applyProtection="1">
      <alignment horizontal="center" vertical="center"/>
      <protection locked="0"/>
    </xf>
    <xf numFmtId="165" fontId="20" fillId="41" borderId="85" xfId="45" applyFont="1" applyFill="1" applyBorder="1" applyAlignment="1" applyProtection="1">
      <alignment horizontal="center" vertical="center"/>
      <protection locked="0"/>
    </xf>
    <xf numFmtId="0" fontId="21" fillId="42" borderId="37" xfId="0" applyFont="1" applyFill="1" applyBorder="1" applyAlignment="1" applyProtection="1">
      <alignment horizontal="center" vertical="center" wrapText="1"/>
    </xf>
    <xf numFmtId="0" fontId="21" fillId="42" borderId="38" xfId="0" applyFont="1" applyFill="1" applyBorder="1" applyAlignment="1" applyProtection="1">
      <alignment horizontal="center" vertical="center" wrapText="1"/>
    </xf>
    <xf numFmtId="3" fontId="29" fillId="42" borderId="70" xfId="0" applyNumberFormat="1" applyFont="1" applyFill="1" applyBorder="1" applyAlignment="1" applyProtection="1">
      <alignment horizontal="center" vertical="center"/>
    </xf>
    <xf numFmtId="3" fontId="29" fillId="42" borderId="82" xfId="0" applyNumberFormat="1" applyFont="1" applyFill="1" applyBorder="1" applyAlignment="1" applyProtection="1">
      <alignment horizontal="center" vertical="center"/>
    </xf>
    <xf numFmtId="3" fontId="29" fillId="42" borderId="63" xfId="0" applyNumberFormat="1" applyFont="1" applyFill="1" applyBorder="1" applyAlignment="1" applyProtection="1">
      <alignment horizontal="center" vertical="center"/>
    </xf>
    <xf numFmtId="0" fontId="145" fillId="0" borderId="0" xfId="0" applyFont="1" applyFill="1" applyBorder="1" applyAlignment="1" applyProtection="1">
      <alignment horizontal="center" vertical="center" wrapText="1"/>
    </xf>
    <xf numFmtId="0" fontId="21" fillId="21" borderId="49" xfId="0" applyFont="1" applyFill="1" applyBorder="1" applyAlignment="1" applyProtection="1">
      <alignment horizontal="center" vertical="center"/>
    </xf>
    <xf numFmtId="0" fontId="21" fillId="21" borderId="54" xfId="0" applyFont="1" applyFill="1" applyBorder="1" applyAlignment="1" applyProtection="1">
      <alignment horizontal="center" vertical="center"/>
    </xf>
    <xf numFmtId="165" fontId="21" fillId="21" borderId="50" xfId="0" applyNumberFormat="1" applyFont="1" applyFill="1" applyBorder="1" applyAlignment="1" applyProtection="1">
      <alignment horizontal="center" vertical="center"/>
    </xf>
    <xf numFmtId="165" fontId="21" fillId="21" borderId="51" xfId="0" applyNumberFormat="1" applyFont="1" applyFill="1" applyBorder="1" applyAlignment="1" applyProtection="1">
      <alignment horizontal="center" vertical="center"/>
    </xf>
    <xf numFmtId="4" fontId="20" fillId="44" borderId="78" xfId="0" applyNumberFormat="1" applyFont="1" applyFill="1" applyBorder="1" applyAlignment="1" applyProtection="1">
      <alignment horizontal="center" vertical="center"/>
    </xf>
    <xf numFmtId="4" fontId="20" fillId="44" borderId="105" xfId="0" applyNumberFormat="1" applyFont="1" applyFill="1" applyBorder="1" applyAlignment="1" applyProtection="1">
      <alignment horizontal="center" vertical="center"/>
    </xf>
    <xf numFmtId="0" fontId="29" fillId="45" borderId="39" xfId="0" applyFont="1" applyFill="1" applyBorder="1" applyAlignment="1" applyProtection="1">
      <alignment horizontal="center" vertical="center"/>
    </xf>
    <xf numFmtId="0" fontId="29" fillId="45" borderId="57" xfId="0" applyFont="1" applyFill="1" applyBorder="1" applyAlignment="1" applyProtection="1">
      <alignment horizontal="center" vertical="center"/>
    </xf>
    <xf numFmtId="0" fontId="29" fillId="45" borderId="29" xfId="0" applyFont="1" applyFill="1" applyBorder="1" applyAlignment="1" applyProtection="1">
      <alignment horizontal="center" vertical="center"/>
    </xf>
    <xf numFmtId="0" fontId="21" fillId="42" borderId="68" xfId="0" applyFont="1" applyFill="1" applyBorder="1" applyAlignment="1" applyProtection="1">
      <alignment horizontal="center" vertical="center" wrapText="1"/>
    </xf>
    <xf numFmtId="0" fontId="21" fillId="42" borderId="56" xfId="0" applyFont="1" applyFill="1" applyBorder="1" applyAlignment="1" applyProtection="1">
      <alignment horizontal="center" vertical="center" wrapText="1"/>
    </xf>
    <xf numFmtId="0" fontId="21" fillId="42" borderId="72" xfId="0" applyFont="1" applyFill="1" applyBorder="1" applyAlignment="1" applyProtection="1">
      <alignment horizontal="center" vertical="center" wrapText="1"/>
    </xf>
    <xf numFmtId="0" fontId="21" fillId="42" borderId="74" xfId="0" applyFont="1" applyFill="1" applyBorder="1" applyAlignment="1" applyProtection="1">
      <alignment horizontal="center" vertical="center" wrapText="1"/>
    </xf>
    <xf numFmtId="0" fontId="29" fillId="20" borderId="39" xfId="0" applyFont="1" applyFill="1" applyBorder="1" applyAlignment="1" applyProtection="1">
      <alignment horizontal="center" vertical="center"/>
    </xf>
    <xf numFmtId="0" fontId="29" fillId="20" borderId="57" xfId="0" applyFont="1" applyFill="1" applyBorder="1" applyAlignment="1" applyProtection="1">
      <alignment horizontal="center" vertical="center"/>
    </xf>
    <xf numFmtId="0" fontId="29" fillId="20" borderId="29" xfId="0" applyFont="1" applyFill="1" applyBorder="1" applyAlignment="1" applyProtection="1">
      <alignment horizontal="center" vertical="center"/>
    </xf>
    <xf numFmtId="0" fontId="21" fillId="42" borderId="36" xfId="0" applyFont="1" applyFill="1" applyBorder="1" applyAlignment="1" applyProtection="1">
      <alignment horizontal="center" vertical="center" wrapText="1"/>
    </xf>
    <xf numFmtId="0" fontId="21" fillId="42" borderId="83" xfId="0" applyFont="1" applyFill="1" applyBorder="1" applyAlignment="1" applyProtection="1">
      <alignment horizontal="center" vertical="center" wrapText="1"/>
    </xf>
    <xf numFmtId="4" fontId="20" fillId="44" borderId="69" xfId="0" applyNumberFormat="1" applyFont="1" applyFill="1" applyBorder="1" applyAlignment="1" applyProtection="1">
      <alignment horizontal="center" vertical="center"/>
    </xf>
    <xf numFmtId="4" fontId="20" fillId="44" borderId="85" xfId="0" applyNumberFormat="1" applyFont="1" applyFill="1" applyBorder="1" applyAlignment="1" applyProtection="1">
      <alignment horizontal="center" vertical="center"/>
    </xf>
    <xf numFmtId="4" fontId="21" fillId="21" borderId="25" xfId="45" applyNumberFormat="1" applyFont="1" applyFill="1" applyBorder="1" applyAlignment="1" applyProtection="1">
      <alignment horizontal="center" vertical="center"/>
    </xf>
    <xf numFmtId="4" fontId="21" fillId="21" borderId="29" xfId="45" applyNumberFormat="1" applyFont="1" applyFill="1" applyBorder="1" applyAlignment="1" applyProtection="1">
      <alignment horizontal="center" vertical="center"/>
    </xf>
    <xf numFmtId="0" fontId="29" fillId="42" borderId="39" xfId="0" applyFont="1" applyFill="1" applyBorder="1" applyAlignment="1" applyProtection="1">
      <alignment horizontal="center" vertical="center"/>
    </xf>
    <xf numFmtId="0" fontId="29" fillId="42" borderId="29" xfId="0" applyFont="1" applyFill="1" applyBorder="1" applyAlignment="1" applyProtection="1">
      <alignment horizontal="center" vertical="center"/>
    </xf>
    <xf numFmtId="0" fontId="21" fillId="42" borderId="32" xfId="0" applyFont="1" applyFill="1" applyBorder="1" applyAlignment="1" applyProtection="1">
      <alignment horizontal="center" vertical="center" wrapText="1"/>
    </xf>
    <xf numFmtId="0" fontId="21" fillId="42" borderId="64" xfId="0" applyFont="1" applyFill="1" applyBorder="1" applyAlignment="1" applyProtection="1">
      <alignment horizontal="center" vertical="center" wrapText="1"/>
    </xf>
    <xf numFmtId="0" fontId="21" fillId="42" borderId="49" xfId="0" applyFont="1" applyFill="1" applyBorder="1" applyAlignment="1" applyProtection="1">
      <alignment horizontal="left" vertical="center"/>
    </xf>
    <xf numFmtId="0" fontId="21" fillId="42" borderId="91" xfId="0" applyFont="1" applyFill="1" applyBorder="1" applyAlignment="1" applyProtection="1">
      <alignment horizontal="left" vertical="center"/>
    </xf>
    <xf numFmtId="0" fontId="61" fillId="18" borderId="27" xfId="0" applyFont="1" applyFill="1" applyBorder="1" applyAlignment="1" applyProtection="1">
      <alignment horizontal="center"/>
    </xf>
    <xf numFmtId="0" fontId="61" fillId="18" borderId="13" xfId="0" applyFont="1" applyFill="1" applyBorder="1" applyAlignment="1" applyProtection="1">
      <alignment horizontal="center"/>
    </xf>
    <xf numFmtId="0" fontId="21" fillId="20" borderId="45" xfId="0" applyFont="1" applyFill="1" applyBorder="1" applyAlignment="1" applyProtection="1">
      <alignment horizontal="center" vertical="center"/>
    </xf>
    <xf numFmtId="0" fontId="21" fillId="20" borderId="44" xfId="0" applyFont="1" applyFill="1" applyBorder="1" applyAlignment="1" applyProtection="1">
      <alignment horizontal="center" vertical="center"/>
    </xf>
    <xf numFmtId="0" fontId="21" fillId="20" borderId="50" xfId="0" applyFont="1" applyFill="1" applyBorder="1" applyAlignment="1" applyProtection="1">
      <alignment horizontal="center" vertical="center"/>
    </xf>
    <xf numFmtId="0" fontId="40" fillId="20" borderId="39" xfId="0" applyFont="1" applyFill="1" applyBorder="1" applyAlignment="1" applyProtection="1">
      <alignment horizontal="center" vertical="center"/>
    </xf>
    <xf numFmtId="0" fontId="40" fillId="20" borderId="57" xfId="0" applyFont="1" applyFill="1" applyBorder="1" applyAlignment="1" applyProtection="1">
      <alignment horizontal="center" vertical="center"/>
    </xf>
    <xf numFmtId="0" fontId="40" fillId="20" borderId="29" xfId="0" applyFont="1" applyFill="1" applyBorder="1" applyAlignment="1" applyProtection="1">
      <alignment horizontal="center" vertical="center"/>
    </xf>
    <xf numFmtId="0" fontId="1" fillId="42" borderId="25" xfId="0" applyFont="1" applyFill="1" applyBorder="1" applyAlignment="1" applyProtection="1">
      <alignment horizontal="left" vertical="center" wrapText="1"/>
    </xf>
    <xf numFmtId="0" fontId="1" fillId="42" borderId="57" xfId="0" applyFont="1" applyFill="1" applyBorder="1" applyAlignment="1" applyProtection="1">
      <alignment horizontal="left" vertical="center" wrapText="1"/>
    </xf>
    <xf numFmtId="0" fontId="1" fillId="42" borderId="29" xfId="0" applyFont="1" applyFill="1" applyBorder="1" applyAlignment="1" applyProtection="1">
      <alignment horizontal="left" vertical="center" wrapText="1"/>
    </xf>
    <xf numFmtId="0" fontId="20" fillId="41" borderId="40" xfId="0" applyFont="1" applyFill="1" applyBorder="1" applyAlignment="1" applyProtection="1">
      <alignment horizontal="center" vertical="center"/>
    </xf>
    <xf numFmtId="0" fontId="20" fillId="41" borderId="62" xfId="0" applyFont="1" applyFill="1" applyBorder="1" applyAlignment="1" applyProtection="1">
      <alignment horizontal="center" vertical="center"/>
    </xf>
    <xf numFmtId="0" fontId="20" fillId="41" borderId="92" xfId="0" applyFont="1" applyFill="1" applyBorder="1" applyAlignment="1" applyProtection="1">
      <alignment horizontal="center" vertical="center"/>
    </xf>
    <xf numFmtId="0" fontId="20" fillId="41" borderId="41" xfId="0" applyFont="1" applyFill="1" applyBorder="1" applyAlignment="1" applyProtection="1">
      <alignment horizontal="center" vertical="center"/>
    </xf>
    <xf numFmtId="0" fontId="20" fillId="41" borderId="55" xfId="0" applyFont="1" applyFill="1" applyBorder="1" applyAlignment="1" applyProtection="1">
      <alignment horizontal="center" vertical="center"/>
    </xf>
    <xf numFmtId="0" fontId="20" fillId="41" borderId="97" xfId="0" applyFont="1" applyFill="1" applyBorder="1" applyAlignment="1" applyProtection="1">
      <alignment horizontal="center" vertical="center"/>
    </xf>
    <xf numFmtId="0" fontId="146" fillId="0" borderId="45" xfId="0" applyFont="1" applyFill="1" applyBorder="1" applyAlignment="1" applyProtection="1">
      <alignment horizontal="center" vertical="center"/>
    </xf>
    <xf numFmtId="0" fontId="146" fillId="0" borderId="44" xfId="0" applyFont="1" applyFill="1" applyBorder="1" applyAlignment="1" applyProtection="1">
      <alignment horizontal="center" vertical="center"/>
    </xf>
    <xf numFmtId="0" fontId="20" fillId="42" borderId="39" xfId="0" applyFont="1" applyFill="1" applyBorder="1" applyAlignment="1" applyProtection="1">
      <alignment horizontal="right" vertical="center"/>
    </xf>
    <xf numFmtId="0" fontId="20" fillId="42" borderId="57" xfId="0" applyFont="1" applyFill="1" applyBorder="1" applyAlignment="1" applyProtection="1">
      <alignment horizontal="right" vertical="center"/>
    </xf>
    <xf numFmtId="0" fontId="20" fillId="42" borderId="29" xfId="0" applyFont="1" applyFill="1" applyBorder="1" applyAlignment="1" applyProtection="1">
      <alignment horizontal="right" vertical="center"/>
    </xf>
    <xf numFmtId="0" fontId="21" fillId="20" borderId="39" xfId="0" applyFont="1" applyFill="1" applyBorder="1" applyAlignment="1" applyProtection="1">
      <alignment horizontal="center" vertical="center" wrapText="1"/>
    </xf>
    <xf numFmtId="0" fontId="21" fillId="20" borderId="57" xfId="0" applyFont="1" applyFill="1" applyBorder="1" applyAlignment="1" applyProtection="1">
      <alignment horizontal="center" vertical="center" wrapText="1"/>
    </xf>
    <xf numFmtId="0" fontId="21" fillId="20" borderId="29" xfId="0" applyFont="1" applyFill="1" applyBorder="1" applyAlignment="1" applyProtection="1">
      <alignment horizontal="center" vertical="center" wrapText="1"/>
    </xf>
    <xf numFmtId="0" fontId="0" fillId="20" borderId="70" xfId="0" applyFill="1" applyBorder="1" applyAlignment="1" applyProtection="1">
      <alignment horizontal="center"/>
      <protection hidden="1"/>
    </xf>
    <xf numFmtId="0" fontId="0" fillId="20" borderId="82" xfId="0" applyFill="1" applyBorder="1" applyAlignment="1" applyProtection="1">
      <alignment horizontal="center"/>
      <protection hidden="1"/>
    </xf>
    <xf numFmtId="0" fontId="0" fillId="20" borderId="68" xfId="0" applyFill="1" applyBorder="1" applyAlignment="1" applyProtection="1">
      <alignment horizontal="center"/>
      <protection hidden="1"/>
    </xf>
    <xf numFmtId="0" fontId="0" fillId="20" borderId="15" xfId="0" applyFill="1" applyBorder="1" applyAlignment="1" applyProtection="1">
      <alignment horizontal="center"/>
      <protection hidden="1"/>
    </xf>
    <xf numFmtId="3" fontId="26" fillId="39" borderId="61" xfId="0" applyNumberFormat="1" applyFont="1" applyFill="1" applyBorder="1" applyAlignment="1" applyProtection="1">
      <alignment horizontal="center" vertical="center"/>
      <protection hidden="1"/>
    </xf>
    <xf numFmtId="3" fontId="26" fillId="39" borderId="92" xfId="0" applyNumberFormat="1" applyFont="1" applyFill="1" applyBorder="1" applyAlignment="1" applyProtection="1">
      <alignment horizontal="center" vertical="center"/>
      <protection hidden="1"/>
    </xf>
    <xf numFmtId="3" fontId="26" fillId="39" borderId="71" xfId="0" applyNumberFormat="1" applyFont="1" applyFill="1" applyBorder="1" applyAlignment="1" applyProtection="1">
      <alignment horizontal="center" vertical="center"/>
      <protection hidden="1"/>
    </xf>
    <xf numFmtId="3" fontId="26" fillId="39" borderId="97" xfId="0" applyNumberFormat="1" applyFont="1" applyFill="1" applyBorder="1" applyAlignment="1" applyProtection="1">
      <alignment horizontal="center" vertical="center"/>
      <protection hidden="1"/>
    </xf>
    <xf numFmtId="0" fontId="26" fillId="41" borderId="39" xfId="0" applyFont="1" applyFill="1" applyBorder="1" applyAlignment="1" applyProtection="1">
      <alignment horizontal="center" vertical="center"/>
      <protection hidden="1"/>
    </xf>
    <xf numFmtId="0" fontId="26" fillId="41" borderId="57" xfId="0" applyFont="1" applyFill="1" applyBorder="1" applyAlignment="1" applyProtection="1">
      <alignment horizontal="center" vertical="center"/>
      <protection hidden="1"/>
    </xf>
    <xf numFmtId="0" fontId="26" fillId="41" borderId="29" xfId="0" applyFont="1" applyFill="1" applyBorder="1" applyAlignment="1" applyProtection="1">
      <alignment horizontal="center" vertical="center"/>
      <protection hidden="1"/>
    </xf>
    <xf numFmtId="0" fontId="1" fillId="46" borderId="110" xfId="0" applyFont="1" applyFill="1" applyBorder="1" applyAlignment="1" applyProtection="1">
      <alignment horizontal="center" vertical="center"/>
      <protection hidden="1"/>
    </xf>
    <xf numFmtId="0" fontId="1" fillId="46" borderId="111" xfId="0" applyFont="1" applyFill="1" applyBorder="1" applyAlignment="1" applyProtection="1">
      <alignment horizontal="center" vertical="center"/>
      <protection hidden="1"/>
    </xf>
    <xf numFmtId="0" fontId="1" fillId="46" borderId="112" xfId="0" applyFont="1" applyFill="1" applyBorder="1" applyAlignment="1" applyProtection="1">
      <alignment horizontal="center" vertical="center"/>
      <protection hidden="1"/>
    </xf>
    <xf numFmtId="0" fontId="1" fillId="47" borderId="110" xfId="0" applyFont="1" applyFill="1" applyBorder="1" applyAlignment="1" applyProtection="1">
      <alignment horizontal="center" vertical="center"/>
      <protection hidden="1"/>
    </xf>
    <xf numFmtId="0" fontId="1" fillId="47" borderId="111" xfId="0" applyFont="1" applyFill="1" applyBorder="1" applyAlignment="1" applyProtection="1">
      <alignment horizontal="center" vertical="center"/>
      <protection hidden="1"/>
    </xf>
    <xf numFmtId="0" fontId="1" fillId="47" borderId="112" xfId="0" applyFont="1" applyFill="1" applyBorder="1" applyAlignment="1" applyProtection="1">
      <alignment horizontal="center" vertical="center"/>
      <protection hidden="1"/>
    </xf>
    <xf numFmtId="0" fontId="1" fillId="48" borderId="110" xfId="0" applyFont="1" applyFill="1" applyBorder="1" applyAlignment="1" applyProtection="1">
      <alignment horizontal="center" vertical="center"/>
      <protection hidden="1"/>
    </xf>
    <xf numFmtId="0" fontId="1" fillId="48" borderId="113" xfId="0" applyFont="1" applyFill="1" applyBorder="1" applyAlignment="1" applyProtection="1">
      <alignment horizontal="center" vertical="center"/>
      <protection hidden="1"/>
    </xf>
    <xf numFmtId="0" fontId="1" fillId="48" borderId="112" xfId="0" applyFont="1" applyFill="1" applyBorder="1" applyAlignment="1" applyProtection="1">
      <alignment horizontal="center" vertical="center"/>
      <protection hidden="1"/>
    </xf>
    <xf numFmtId="3" fontId="0" fillId="39" borderId="98" xfId="0" applyNumberFormat="1" applyFill="1" applyBorder="1" applyAlignment="1" applyProtection="1">
      <alignment horizontal="center" vertical="center"/>
      <protection hidden="1"/>
    </xf>
    <xf numFmtId="3" fontId="0" fillId="39" borderId="0" xfId="0" applyNumberFormat="1" applyFill="1" applyBorder="1" applyAlignment="1" applyProtection="1">
      <alignment horizontal="center" vertical="center"/>
      <protection hidden="1"/>
    </xf>
    <xf numFmtId="3" fontId="0" fillId="39" borderId="99" xfId="0" applyNumberFormat="1" applyFill="1" applyBorder="1" applyAlignment="1" applyProtection="1">
      <alignment horizontal="center" vertical="center"/>
      <protection hidden="1"/>
    </xf>
    <xf numFmtId="3" fontId="0" fillId="39" borderId="100" xfId="0" applyNumberFormat="1" applyFill="1" applyBorder="1" applyAlignment="1" applyProtection="1">
      <alignment horizontal="center" vertical="center"/>
      <protection hidden="1"/>
    </xf>
    <xf numFmtId="3" fontId="0" fillId="39" borderId="101" xfId="0" applyNumberFormat="1" applyFill="1" applyBorder="1" applyAlignment="1" applyProtection="1">
      <alignment horizontal="center" vertical="center"/>
      <protection hidden="1"/>
    </xf>
    <xf numFmtId="3" fontId="0" fillId="39" borderId="102" xfId="0" applyNumberFormat="1" applyFill="1" applyBorder="1" applyAlignment="1" applyProtection="1">
      <alignment horizontal="center" vertical="center"/>
      <protection hidden="1"/>
    </xf>
    <xf numFmtId="3" fontId="0" fillId="39" borderId="103" xfId="0" applyNumberFormat="1" applyFill="1" applyBorder="1" applyAlignment="1" applyProtection="1">
      <alignment horizontal="center" vertical="center"/>
      <protection hidden="1"/>
    </xf>
    <xf numFmtId="3" fontId="0" fillId="39" borderId="108" xfId="0" applyNumberFormat="1" applyFill="1" applyBorder="1" applyAlignment="1" applyProtection="1">
      <alignment horizontal="center" vertical="center"/>
      <protection hidden="1"/>
    </xf>
    <xf numFmtId="3" fontId="0" fillId="39" borderId="104" xfId="0" applyNumberFormat="1" applyFill="1" applyBorder="1" applyAlignment="1" applyProtection="1">
      <alignment horizontal="center" vertical="center"/>
      <protection hidden="1"/>
    </xf>
    <xf numFmtId="3" fontId="26" fillId="39" borderId="70" xfId="0" applyNumberFormat="1" applyFont="1" applyFill="1" applyBorder="1" applyAlignment="1" applyProtection="1">
      <alignment horizontal="center" vertical="center"/>
      <protection hidden="1"/>
    </xf>
    <xf numFmtId="3" fontId="26" fillId="39" borderId="63" xfId="0" applyNumberFormat="1" applyFont="1" applyFill="1" applyBorder="1" applyAlignment="1" applyProtection="1">
      <alignment horizontal="center" vertical="center"/>
      <protection hidden="1"/>
    </xf>
    <xf numFmtId="0" fontId="21" fillId="20" borderId="39" xfId="0" applyFont="1" applyFill="1" applyBorder="1" applyAlignment="1" applyProtection="1">
      <alignment horizontal="center" vertical="center"/>
      <protection hidden="1"/>
    </xf>
    <xf numFmtId="0" fontId="21" fillId="20" borderId="57" xfId="0" applyFont="1" applyFill="1" applyBorder="1" applyAlignment="1" applyProtection="1">
      <alignment horizontal="center" vertical="center"/>
      <protection hidden="1"/>
    </xf>
    <xf numFmtId="0" fontId="21" fillId="20" borderId="29" xfId="0" applyFont="1" applyFill="1" applyBorder="1" applyAlignment="1" applyProtection="1">
      <alignment horizontal="center" vertical="center"/>
      <protection hidden="1"/>
    </xf>
    <xf numFmtId="0" fontId="11" fillId="41" borderId="39" xfId="0" applyFont="1" applyFill="1" applyBorder="1" applyAlignment="1" applyProtection="1">
      <alignment horizontal="center" vertical="center"/>
      <protection hidden="1"/>
    </xf>
    <xf numFmtId="0" fontId="11" fillId="41" borderId="57" xfId="0" applyFont="1" applyFill="1" applyBorder="1" applyAlignment="1" applyProtection="1">
      <alignment horizontal="center" vertical="center"/>
      <protection hidden="1"/>
    </xf>
    <xf numFmtId="0" fontId="11" fillId="41" borderId="29" xfId="0" applyFont="1" applyFill="1" applyBorder="1" applyAlignment="1" applyProtection="1">
      <alignment horizontal="center" vertical="center"/>
      <protection hidden="1"/>
    </xf>
    <xf numFmtId="0" fontId="35" fillId="45" borderId="39" xfId="0" applyFont="1" applyFill="1" applyBorder="1" applyAlignment="1" applyProtection="1">
      <alignment horizontal="center" vertical="center"/>
      <protection hidden="1"/>
    </xf>
    <xf numFmtId="0" fontId="35" fillId="45" borderId="57" xfId="0" applyFont="1" applyFill="1" applyBorder="1" applyAlignment="1" applyProtection="1">
      <alignment horizontal="center" vertical="center"/>
      <protection hidden="1"/>
    </xf>
    <xf numFmtId="0" fontId="35" fillId="45" borderId="29" xfId="0" applyFont="1" applyFill="1" applyBorder="1" applyAlignment="1" applyProtection="1">
      <alignment horizontal="center" vertical="center"/>
      <protection hidden="1"/>
    </xf>
    <xf numFmtId="0" fontId="1" fillId="42" borderId="65" xfId="0" applyFont="1" applyFill="1" applyBorder="1" applyAlignment="1" applyProtection="1">
      <alignment horizontal="center" vertical="center" wrapText="1"/>
      <protection hidden="1"/>
    </xf>
    <xf numFmtId="0" fontId="1" fillId="42" borderId="12" xfId="0" applyFont="1" applyFill="1" applyBorder="1" applyAlignment="1" applyProtection="1">
      <alignment horizontal="center" vertical="center" wrapText="1"/>
      <protection hidden="1"/>
    </xf>
    <xf numFmtId="0" fontId="1" fillId="42" borderId="53" xfId="0" applyFont="1" applyFill="1" applyBorder="1" applyAlignment="1" applyProtection="1">
      <alignment horizontal="center" vertical="center" wrapText="1"/>
      <protection hidden="1"/>
    </xf>
    <xf numFmtId="0" fontId="1" fillId="42" borderId="50" xfId="0" applyFont="1" applyFill="1" applyBorder="1" applyAlignment="1" applyProtection="1">
      <alignment horizontal="center" vertical="center" wrapText="1"/>
      <protection hidden="1"/>
    </xf>
    <xf numFmtId="0" fontId="1" fillId="42" borderId="52" xfId="0" applyFont="1" applyFill="1" applyBorder="1" applyAlignment="1" applyProtection="1">
      <alignment horizontal="center" vertical="center" wrapText="1"/>
      <protection hidden="1"/>
    </xf>
    <xf numFmtId="0" fontId="1" fillId="42" borderId="63" xfId="0" applyFont="1" applyFill="1" applyBorder="1" applyAlignment="1" applyProtection="1">
      <alignment horizontal="center" vertical="center" wrapText="1"/>
      <protection hidden="1"/>
    </xf>
    <xf numFmtId="0" fontId="35" fillId="20" borderId="57" xfId="0" applyFont="1" applyFill="1" applyBorder="1" applyAlignment="1" applyProtection="1">
      <alignment horizontal="center"/>
      <protection hidden="1"/>
    </xf>
    <xf numFmtId="0" fontId="35" fillId="20" borderId="29" xfId="0" applyFont="1" applyFill="1" applyBorder="1" applyAlignment="1" applyProtection="1">
      <alignment horizontal="center"/>
      <protection hidden="1"/>
    </xf>
    <xf numFmtId="0" fontId="1" fillId="42" borderId="116" xfId="0" applyFont="1" applyFill="1" applyBorder="1" applyAlignment="1" applyProtection="1">
      <alignment horizontal="center" vertical="center"/>
      <protection hidden="1"/>
    </xf>
    <xf numFmtId="0" fontId="1" fillId="42" borderId="117" xfId="0" applyFont="1" applyFill="1" applyBorder="1" applyAlignment="1" applyProtection="1">
      <alignment horizontal="center" vertical="center"/>
      <protection hidden="1"/>
    </xf>
    <xf numFmtId="0" fontId="11" fillId="22" borderId="70" xfId="0" applyFont="1" applyFill="1" applyBorder="1" applyAlignment="1" applyProtection="1">
      <alignment horizontal="left" vertical="center"/>
      <protection hidden="1"/>
    </xf>
    <xf numFmtId="0" fontId="11" fillId="22" borderId="82" xfId="0" applyFont="1" applyFill="1" applyBorder="1" applyAlignment="1" applyProtection="1">
      <alignment horizontal="left" vertical="center"/>
      <protection hidden="1"/>
    </xf>
    <xf numFmtId="0" fontId="11" fillId="22" borderId="68" xfId="0" applyFont="1" applyFill="1" applyBorder="1" applyAlignment="1" applyProtection="1">
      <alignment horizontal="left" vertical="center"/>
      <protection hidden="1"/>
    </xf>
    <xf numFmtId="0" fontId="21" fillId="45" borderId="49" xfId="0" applyFont="1" applyFill="1" applyBorder="1" applyAlignment="1" applyProtection="1">
      <alignment horizontal="center" vertical="center"/>
      <protection hidden="1"/>
    </xf>
    <xf numFmtId="0" fontId="21" fillId="45" borderId="91" xfId="0" applyFont="1" applyFill="1" applyBorder="1" applyAlignment="1" applyProtection="1">
      <alignment horizontal="center" vertical="center"/>
      <protection hidden="1"/>
    </xf>
    <xf numFmtId="0" fontId="21" fillId="45" borderId="54" xfId="0" applyFont="1" applyFill="1" applyBorder="1" applyAlignment="1" applyProtection="1">
      <alignment horizontal="center" vertical="center"/>
      <protection hidden="1"/>
    </xf>
    <xf numFmtId="165" fontId="1" fillId="22" borderId="10" xfId="45" applyFont="1" applyFill="1" applyBorder="1" applyAlignment="1" applyProtection="1">
      <alignment horizontal="left" vertical="center"/>
      <protection hidden="1"/>
    </xf>
    <xf numFmtId="165" fontId="1" fillId="22" borderId="0" xfId="45" applyFont="1" applyFill="1" applyBorder="1" applyAlignment="1" applyProtection="1">
      <alignment horizontal="left" vertical="center"/>
      <protection hidden="1"/>
    </xf>
    <xf numFmtId="165" fontId="1" fillId="22" borderId="57" xfId="45" applyFont="1" applyFill="1" applyBorder="1" applyAlignment="1" applyProtection="1">
      <alignment horizontal="left" vertical="center"/>
      <protection hidden="1"/>
    </xf>
    <xf numFmtId="165" fontId="1" fillId="22" borderId="29" xfId="45" applyFont="1" applyFill="1" applyBorder="1" applyAlignment="1" applyProtection="1">
      <alignment horizontal="left" vertical="center"/>
      <protection hidden="1"/>
    </xf>
    <xf numFmtId="0" fontId="11" fillId="22" borderId="61" xfId="0" applyFont="1" applyFill="1" applyBorder="1" applyAlignment="1" applyProtection="1">
      <alignment horizontal="left" vertical="center"/>
      <protection hidden="1"/>
    </xf>
    <xf numFmtId="0" fontId="11" fillId="22" borderId="62" xfId="0" applyFont="1" applyFill="1" applyBorder="1" applyAlignment="1" applyProtection="1">
      <alignment horizontal="left" vertical="center"/>
      <protection hidden="1"/>
    </xf>
    <xf numFmtId="0" fontId="11" fillId="22" borderId="27" xfId="0" applyFont="1" applyFill="1" applyBorder="1" applyAlignment="1" applyProtection="1">
      <alignment horizontal="left" vertical="center"/>
      <protection hidden="1"/>
    </xf>
    <xf numFmtId="0" fontId="21" fillId="42" borderId="47" xfId="0" applyFont="1" applyFill="1" applyBorder="1" applyAlignment="1" applyProtection="1">
      <alignment horizontal="center" vertical="center"/>
      <protection hidden="1"/>
    </xf>
    <xf numFmtId="0" fontId="21" fillId="42" borderId="28" xfId="0" applyFont="1" applyFill="1" applyBorder="1" applyAlignment="1" applyProtection="1">
      <alignment horizontal="center" vertical="center"/>
      <protection hidden="1"/>
    </xf>
    <xf numFmtId="165" fontId="21" fillId="18" borderId="11" xfId="45" applyFont="1" applyFill="1" applyBorder="1" applyAlignment="1" applyProtection="1">
      <alignment horizontal="right"/>
      <protection hidden="1"/>
    </xf>
    <xf numFmtId="165" fontId="21" fillId="18" borderId="64" xfId="45" applyFont="1" applyFill="1" applyBorder="1" applyAlignment="1" applyProtection="1">
      <alignment horizontal="right"/>
      <protection hidden="1"/>
    </xf>
    <xf numFmtId="0" fontId="11" fillId="41" borderId="19" xfId="0" applyFont="1" applyFill="1" applyBorder="1" applyAlignment="1" applyProtection="1">
      <alignment horizontal="left" vertical="center"/>
      <protection locked="0"/>
    </xf>
    <xf numFmtId="0" fontId="11" fillId="41" borderId="27" xfId="0" applyFont="1" applyFill="1" applyBorder="1" applyAlignment="1" applyProtection="1">
      <alignment horizontal="left" vertical="center"/>
      <protection locked="0"/>
    </xf>
    <xf numFmtId="0" fontId="11" fillId="41" borderId="13" xfId="0" applyFont="1" applyFill="1" applyBorder="1" applyAlignment="1" applyProtection="1">
      <alignment horizontal="left" vertical="center"/>
      <protection locked="0"/>
    </xf>
    <xf numFmtId="0" fontId="11" fillId="41" borderId="18" xfId="0" applyFont="1" applyFill="1" applyBorder="1" applyAlignment="1" applyProtection="1">
      <alignment horizontal="left" vertical="center"/>
      <protection locked="0"/>
    </xf>
    <xf numFmtId="0" fontId="11" fillId="41" borderId="56" xfId="0" applyFont="1" applyFill="1" applyBorder="1" applyAlignment="1" applyProtection="1">
      <alignment horizontal="left" vertical="center"/>
      <protection locked="0"/>
    </xf>
    <xf numFmtId="0" fontId="11" fillId="41" borderId="14" xfId="0" applyFont="1" applyFill="1" applyBorder="1" applyAlignment="1" applyProtection="1">
      <alignment horizontal="left" vertical="center"/>
      <protection locked="0"/>
    </xf>
    <xf numFmtId="0" fontId="21" fillId="39" borderId="39" xfId="0" applyFont="1" applyFill="1" applyBorder="1" applyAlignment="1" applyProtection="1">
      <alignment horizontal="center" vertical="center"/>
      <protection hidden="1"/>
    </xf>
    <xf numFmtId="0" fontId="21" fillId="39" borderId="57" xfId="0" applyFont="1" applyFill="1" applyBorder="1" applyAlignment="1" applyProtection="1">
      <alignment horizontal="center" vertical="center"/>
      <protection hidden="1"/>
    </xf>
    <xf numFmtId="0" fontId="21" fillId="39" borderId="29" xfId="0" applyFont="1" applyFill="1" applyBorder="1" applyAlignment="1" applyProtection="1">
      <alignment horizontal="center" vertical="center"/>
      <protection hidden="1"/>
    </xf>
    <xf numFmtId="0" fontId="21" fillId="45" borderId="49" xfId="0" applyFont="1" applyFill="1" applyBorder="1" applyAlignment="1" applyProtection="1">
      <alignment horizontal="center" vertical="center" wrapText="1"/>
      <protection hidden="1"/>
    </xf>
    <xf numFmtId="0" fontId="11" fillId="41" borderId="81" xfId="0" applyFont="1" applyFill="1" applyBorder="1" applyAlignment="1" applyProtection="1">
      <alignment horizontal="left" vertical="center"/>
      <protection locked="0"/>
    </xf>
    <xf numFmtId="0" fontId="11" fillId="41" borderId="58" xfId="0" applyFont="1" applyFill="1" applyBorder="1" applyAlignment="1" applyProtection="1">
      <alignment horizontal="left" vertical="center"/>
      <protection locked="0"/>
    </xf>
    <xf numFmtId="0" fontId="11" fillId="41" borderId="62" xfId="0" applyFont="1" applyFill="1" applyBorder="1" applyAlignment="1" applyProtection="1">
      <alignment horizontal="left" vertical="center"/>
      <protection locked="0"/>
    </xf>
    <xf numFmtId="0" fontId="21" fillId="22" borderId="57" xfId="0" applyFont="1" applyFill="1" applyBorder="1" applyAlignment="1" applyProtection="1">
      <alignment horizontal="center" vertical="center" wrapText="1"/>
      <protection hidden="1"/>
    </xf>
    <xf numFmtId="0" fontId="21" fillId="22" borderId="47" xfId="0" applyFont="1" applyFill="1" applyBorder="1" applyAlignment="1" applyProtection="1">
      <alignment horizontal="center" vertical="center" wrapText="1"/>
      <protection hidden="1"/>
    </xf>
    <xf numFmtId="0" fontId="21" fillId="45" borderId="91" xfId="0" applyFont="1" applyFill="1" applyBorder="1" applyAlignment="1" applyProtection="1">
      <alignment horizontal="center" vertical="center" wrapText="1"/>
      <protection hidden="1"/>
    </xf>
    <xf numFmtId="0" fontId="21" fillId="45" borderId="54" xfId="0" applyFont="1" applyFill="1" applyBorder="1" applyAlignment="1" applyProtection="1">
      <alignment horizontal="center" vertical="center" wrapText="1"/>
      <protection hidden="1"/>
    </xf>
    <xf numFmtId="0" fontId="11" fillId="0" borderId="39" xfId="0" applyFont="1" applyBorder="1" applyAlignment="1" applyProtection="1">
      <alignment horizontal="left" vertical="top"/>
    </xf>
    <xf numFmtId="0" fontId="11" fillId="0" borderId="57" xfId="0" applyFont="1" applyBorder="1" applyAlignment="1" applyProtection="1">
      <alignment horizontal="left" vertical="top"/>
    </xf>
    <xf numFmtId="0" fontId="11" fillId="0" borderId="29" xfId="0" applyFont="1" applyBorder="1" applyAlignment="1" applyProtection="1">
      <alignment horizontal="left" vertical="top"/>
    </xf>
    <xf numFmtId="0" fontId="11" fillId="41" borderId="45" xfId="0" applyFont="1" applyFill="1" applyBorder="1" applyAlignment="1" applyProtection="1">
      <alignment horizontal="left" vertical="top" wrapText="1"/>
      <protection locked="0"/>
    </xf>
    <xf numFmtId="0" fontId="11" fillId="41" borderId="44" xfId="0" applyFont="1" applyFill="1" applyBorder="1" applyAlignment="1" applyProtection="1">
      <alignment horizontal="left" vertical="top" wrapText="1"/>
      <protection locked="0"/>
    </xf>
    <xf numFmtId="0" fontId="11" fillId="41" borderId="50" xfId="0" applyFont="1" applyFill="1" applyBorder="1" applyAlignment="1" applyProtection="1">
      <alignment horizontal="left" vertical="top" wrapText="1"/>
      <protection locked="0"/>
    </xf>
    <xf numFmtId="0" fontId="1" fillId="22" borderId="39" xfId="0" applyFont="1" applyFill="1" applyBorder="1" applyAlignment="1" applyProtection="1">
      <alignment horizontal="center" vertical="center"/>
    </xf>
    <xf numFmtId="0" fontId="1" fillId="22" borderId="57" xfId="0" applyFont="1" applyFill="1" applyBorder="1" applyAlignment="1" applyProtection="1">
      <alignment horizontal="center" vertical="center"/>
    </xf>
    <xf numFmtId="0" fontId="1" fillId="22" borderId="29" xfId="0" applyFont="1" applyFill="1" applyBorder="1" applyAlignment="1" applyProtection="1">
      <alignment horizontal="center" vertical="center"/>
    </xf>
    <xf numFmtId="0" fontId="22" fillId="0" borderId="27" xfId="0" applyFont="1" applyFill="1" applyBorder="1" applyAlignment="1" applyProtection="1">
      <alignment horizontal="center"/>
    </xf>
    <xf numFmtId="0" fontId="22" fillId="0" borderId="13" xfId="0" applyFont="1" applyFill="1" applyBorder="1" applyAlignment="1" applyProtection="1">
      <alignment horizontal="center"/>
    </xf>
    <xf numFmtId="0" fontId="21" fillId="42" borderId="91" xfId="0" applyFont="1" applyFill="1" applyBorder="1" applyAlignment="1" applyProtection="1">
      <alignment horizontal="center" vertical="center"/>
    </xf>
    <xf numFmtId="0" fontId="11" fillId="0" borderId="13" xfId="0" applyFont="1" applyBorder="1" applyAlignment="1">
      <alignment horizontal="right" vertical="center"/>
    </xf>
    <xf numFmtId="0" fontId="11" fillId="0" borderId="40"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40" xfId="0" applyFont="1" applyBorder="1" applyAlignment="1">
      <alignment horizontal="center" vertical="center"/>
    </xf>
    <xf numFmtId="0" fontId="11" fillId="0" borderId="27" xfId="0" applyFont="1" applyBorder="1" applyAlignment="1">
      <alignment horizontal="center" vertical="center"/>
    </xf>
    <xf numFmtId="0" fontId="26" fillId="39" borderId="13" xfId="0" applyFont="1" applyFill="1" applyBorder="1" applyAlignment="1">
      <alignment horizontal="center" vertical="center"/>
    </xf>
    <xf numFmtId="0" fontId="26" fillId="39" borderId="43" xfId="0" applyFont="1" applyFill="1" applyBorder="1" applyAlignment="1">
      <alignment horizontal="center" vertical="center"/>
    </xf>
    <xf numFmtId="0" fontId="26" fillId="39" borderId="84" xfId="0" applyFont="1" applyFill="1" applyBorder="1" applyAlignment="1">
      <alignment horizontal="center" vertical="center"/>
    </xf>
    <xf numFmtId="0" fontId="26" fillId="39" borderId="59" xfId="0" applyFont="1" applyFill="1" applyBorder="1" applyAlignment="1">
      <alignment horizontal="center" vertical="center"/>
    </xf>
    <xf numFmtId="0" fontId="26" fillId="39" borderId="42" xfId="0" applyFont="1" applyFill="1" applyBorder="1" applyAlignment="1">
      <alignment horizontal="center" vertical="center"/>
    </xf>
    <xf numFmtId="0" fontId="26" fillId="39" borderId="81" xfId="0" applyFont="1" applyFill="1" applyBorder="1" applyAlignment="1">
      <alignment horizontal="center" vertical="center"/>
    </xf>
    <xf numFmtId="0" fontId="26" fillId="39" borderId="58" xfId="0" applyFont="1" applyFill="1" applyBorder="1" applyAlignment="1">
      <alignment horizontal="center" vertical="center"/>
    </xf>
    <xf numFmtId="0" fontId="30" fillId="0" borderId="40" xfId="0" applyFont="1" applyBorder="1" applyAlignment="1">
      <alignment horizontal="center" vertical="center"/>
    </xf>
    <xf numFmtId="0" fontId="30" fillId="0" borderId="62" xfId="0" applyFont="1" applyBorder="1" applyAlignment="1">
      <alignment horizontal="center" vertical="center"/>
    </xf>
    <xf numFmtId="0" fontId="30" fillId="0" borderId="27" xfId="0" applyFont="1" applyBorder="1" applyAlignment="1">
      <alignment horizontal="center" vertical="center"/>
    </xf>
    <xf numFmtId="0" fontId="26" fillId="39" borderId="13" xfId="0" applyFont="1" applyFill="1" applyBorder="1" applyAlignment="1">
      <alignment horizontal="center"/>
    </xf>
    <xf numFmtId="0" fontId="11" fillId="0" borderId="13" xfId="0" applyFont="1" applyBorder="1" applyAlignment="1">
      <alignment horizontal="center" vertical="center" wrapText="1"/>
    </xf>
    <xf numFmtId="167" fontId="1" fillId="0" borderId="13" xfId="0" applyNumberFormat="1" applyFont="1" applyFill="1" applyBorder="1" applyAlignment="1">
      <alignment horizontal="center" vertical="center"/>
    </xf>
    <xf numFmtId="167" fontId="11" fillId="0" borderId="13" xfId="0" applyNumberFormat="1" applyFont="1" applyBorder="1" applyAlignment="1">
      <alignment horizontal="center" vertical="center"/>
    </xf>
    <xf numFmtId="167" fontId="0" fillId="0" borderId="13" xfId="0" applyNumberFormat="1" applyBorder="1" applyAlignment="1">
      <alignment horizontal="center" vertical="center"/>
    </xf>
    <xf numFmtId="4" fontId="1" fillId="0" borderId="13" xfId="0" applyNumberFormat="1" applyFont="1" applyFill="1" applyBorder="1" applyAlignment="1">
      <alignment horizontal="center" vertical="center"/>
    </xf>
    <xf numFmtId="1" fontId="0" fillId="0" borderId="13" xfId="0" applyNumberFormat="1" applyFill="1" applyBorder="1" applyAlignment="1">
      <alignment horizontal="center" vertical="center"/>
    </xf>
    <xf numFmtId="2" fontId="0" fillId="0" borderId="13" xfId="0" applyNumberFormat="1" applyBorder="1" applyAlignment="1">
      <alignment horizontal="center" vertical="center"/>
    </xf>
    <xf numFmtId="0" fontId="26" fillId="0" borderId="13" xfId="0" applyFont="1" applyBorder="1" applyAlignment="1">
      <alignment horizontal="center" vertical="center"/>
    </xf>
    <xf numFmtId="3" fontId="0" fillId="0" borderId="13" xfId="0" applyNumberFormat="1" applyBorder="1" applyAlignment="1">
      <alignment horizontal="center" vertical="center"/>
    </xf>
    <xf numFmtId="3" fontId="11" fillId="0" borderId="13" xfId="0" applyNumberFormat="1" applyFont="1" applyBorder="1" applyAlignment="1">
      <alignment horizontal="center" vertical="center"/>
    </xf>
    <xf numFmtId="172" fontId="0" fillId="0" borderId="13" xfId="0" applyNumberFormat="1" applyBorder="1" applyAlignment="1">
      <alignment horizontal="center" vertical="center"/>
    </xf>
    <xf numFmtId="3" fontId="1" fillId="0" borderId="13" xfId="0" applyNumberFormat="1" applyFont="1" applyFill="1" applyBorder="1" applyAlignment="1">
      <alignment horizontal="center" vertical="center"/>
    </xf>
    <xf numFmtId="0" fontId="136" fillId="0" borderId="0" xfId="0" applyFont="1" applyBorder="1" applyAlignment="1">
      <alignment horizontal="center" vertical="center"/>
    </xf>
    <xf numFmtId="0" fontId="11" fillId="0" borderId="39" xfId="0" applyFont="1" applyBorder="1" applyAlignment="1">
      <alignment horizontal="center" vertical="center"/>
    </xf>
    <xf numFmtId="0" fontId="11" fillId="0" borderId="47" xfId="0" applyFont="1" applyBorder="1" applyAlignment="1">
      <alignment horizontal="center" vertical="center"/>
    </xf>
    <xf numFmtId="0" fontId="136" fillId="0" borderId="0" xfId="0" applyFont="1" applyFill="1" applyBorder="1" applyAlignment="1">
      <alignment horizontal="center" vertical="center"/>
    </xf>
    <xf numFmtId="0" fontId="26" fillId="0" borderId="11" xfId="0" applyFont="1" applyBorder="1" applyAlignment="1">
      <alignment horizontal="center" vertical="center"/>
    </xf>
    <xf numFmtId="0" fontId="30" fillId="0" borderId="41" xfId="0" applyFont="1" applyBorder="1" applyAlignment="1">
      <alignment horizontal="center" vertical="center"/>
    </xf>
    <xf numFmtId="0" fontId="30" fillId="0" borderId="55" xfId="0" applyFont="1" applyBorder="1" applyAlignment="1">
      <alignment horizontal="center" vertical="center"/>
    </xf>
    <xf numFmtId="0" fontId="30" fillId="0" borderId="97" xfId="0" applyFont="1" applyBorder="1" applyAlignment="1">
      <alignment horizontal="center" vertical="center"/>
    </xf>
    <xf numFmtId="0" fontId="136" fillId="0" borderId="0" xfId="0" applyFont="1" applyBorder="1" applyAlignment="1">
      <alignment horizontal="center"/>
    </xf>
    <xf numFmtId="0" fontId="0" fillId="0" borderId="0" xfId="0" applyBorder="1" applyAlignment="1">
      <alignment horizontal="right" vertical="center"/>
    </xf>
    <xf numFmtId="0" fontId="0" fillId="0" borderId="46" xfId="0" applyBorder="1" applyAlignment="1">
      <alignment horizontal="right" vertical="center"/>
    </xf>
    <xf numFmtId="0" fontId="11" fillId="0" borderId="0" xfId="0" applyFont="1" applyBorder="1" applyAlignment="1">
      <alignment horizontal="right" vertical="center"/>
    </xf>
    <xf numFmtId="0" fontId="11" fillId="0" borderId="46" xfId="0" applyFont="1" applyBorder="1" applyAlignment="1">
      <alignment horizontal="right" vertical="center"/>
    </xf>
    <xf numFmtId="0" fontId="38" fillId="21" borderId="24" xfId="0" applyFont="1" applyFill="1" applyBorder="1" applyAlignment="1" applyProtection="1">
      <alignment horizontal="center"/>
    </xf>
    <xf numFmtId="0" fontId="38" fillId="21" borderId="28" xfId="0" applyFont="1" applyFill="1" applyBorder="1" applyAlignment="1" applyProtection="1">
      <alignment horizontal="center"/>
    </xf>
    <xf numFmtId="0" fontId="38" fillId="21" borderId="48" xfId="0" applyFont="1" applyFill="1" applyBorder="1" applyAlignment="1" applyProtection="1">
      <alignment horizontal="center"/>
    </xf>
    <xf numFmtId="0" fontId="54" fillId="20" borderId="21" xfId="0" applyFont="1" applyFill="1" applyBorder="1" applyAlignment="1" applyProtection="1">
      <alignment horizontal="left"/>
    </xf>
    <xf numFmtId="0" fontId="54" fillId="20" borderId="11" xfId="0" applyFont="1" applyFill="1" applyBorder="1" applyAlignment="1" applyProtection="1">
      <alignment horizontal="left"/>
    </xf>
    <xf numFmtId="0" fontId="54" fillId="20" borderId="26" xfId="0" applyFont="1" applyFill="1" applyBorder="1" applyAlignment="1" applyProtection="1">
      <alignment horizontal="left"/>
    </xf>
    <xf numFmtId="0" fontId="102" fillId="20" borderId="24" xfId="0" applyFont="1" applyFill="1" applyBorder="1" applyAlignment="1" applyProtection="1">
      <alignment horizontal="center"/>
    </xf>
    <xf numFmtId="0" fontId="102" fillId="20" borderId="28" xfId="0" applyFont="1" applyFill="1" applyBorder="1" applyAlignment="1" applyProtection="1">
      <alignment horizontal="center"/>
    </xf>
    <xf numFmtId="0" fontId="102" fillId="20" borderId="48" xfId="0" applyFont="1" applyFill="1" applyBorder="1" applyAlignment="1" applyProtection="1">
      <alignment horizontal="center"/>
    </xf>
    <xf numFmtId="165" fontId="114" fillId="35" borderId="57" xfId="45" applyFont="1" applyFill="1" applyBorder="1" applyAlignment="1" applyProtection="1">
      <alignment horizontal="center"/>
    </xf>
    <xf numFmtId="165" fontId="114" fillId="35" borderId="29" xfId="45" applyFont="1" applyFill="1" applyBorder="1" applyAlignment="1" applyProtection="1">
      <alignment horizontal="center"/>
    </xf>
    <xf numFmtId="165" fontId="114" fillId="21" borderId="57" xfId="45" applyFont="1" applyFill="1" applyBorder="1" applyAlignment="1" applyProtection="1">
      <alignment horizontal="center"/>
    </xf>
    <xf numFmtId="165" fontId="114" fillId="21" borderId="29" xfId="45" applyFont="1" applyFill="1" applyBorder="1" applyAlignment="1" applyProtection="1">
      <alignment horizontal="center"/>
    </xf>
    <xf numFmtId="165" fontId="114" fillId="36" borderId="57" xfId="45" applyFont="1" applyFill="1" applyBorder="1" applyAlignment="1" applyProtection="1">
      <alignment horizontal="center"/>
    </xf>
    <xf numFmtId="165" fontId="114" fillId="36" borderId="29" xfId="45" applyFont="1" applyFill="1" applyBorder="1" applyAlignment="1" applyProtection="1">
      <alignment horizontal="center"/>
    </xf>
    <xf numFmtId="165" fontId="38" fillId="29" borderId="57" xfId="45" applyFont="1" applyFill="1" applyBorder="1" applyAlignment="1" applyProtection="1">
      <alignment horizontal="center"/>
    </xf>
    <xf numFmtId="165" fontId="38" fillId="29" borderId="29" xfId="45" applyFont="1" applyFill="1" applyBorder="1" applyAlignment="1" applyProtection="1">
      <alignment horizontal="center"/>
    </xf>
    <xf numFmtId="165" fontId="38" fillId="35" borderId="57" xfId="45" applyFont="1" applyFill="1" applyBorder="1" applyAlignment="1" applyProtection="1">
      <alignment horizontal="center"/>
    </xf>
    <xf numFmtId="165" fontId="38" fillId="35" borderId="29" xfId="45" applyFont="1" applyFill="1" applyBorder="1" applyAlignment="1" applyProtection="1">
      <alignment horizontal="center"/>
    </xf>
    <xf numFmtId="0" fontId="54" fillId="23" borderId="21" xfId="0" applyFont="1" applyFill="1" applyBorder="1" applyAlignment="1" applyProtection="1">
      <alignment horizontal="left"/>
    </xf>
    <xf numFmtId="0" fontId="54" fillId="23" borderId="11" xfId="0" applyFont="1" applyFill="1" applyBorder="1" applyAlignment="1" applyProtection="1">
      <alignment horizontal="left"/>
    </xf>
    <xf numFmtId="0" fontId="54" fillId="23" borderId="26" xfId="0" applyFont="1" applyFill="1" applyBorder="1" applyAlignment="1" applyProtection="1">
      <alignment horizontal="left"/>
    </xf>
    <xf numFmtId="0" fontId="54" fillId="20" borderId="13" xfId="0" applyFont="1" applyFill="1" applyBorder="1" applyAlignment="1" applyProtection="1">
      <alignment horizontal="left"/>
    </xf>
    <xf numFmtId="0" fontId="54" fillId="21" borderId="21" xfId="0" applyFont="1" applyFill="1" applyBorder="1" applyAlignment="1" applyProtection="1">
      <alignment horizontal="left"/>
    </xf>
    <xf numFmtId="0" fontId="54" fillId="21" borderId="11" xfId="0" applyFont="1" applyFill="1" applyBorder="1" applyAlignment="1" applyProtection="1">
      <alignment horizontal="left"/>
    </xf>
    <xf numFmtId="0" fontId="54" fillId="21" borderId="26" xfId="0" applyFont="1" applyFill="1" applyBorder="1" applyAlignment="1" applyProtection="1">
      <alignment horizontal="left"/>
    </xf>
    <xf numFmtId="0" fontId="54" fillId="35" borderId="21" xfId="0" applyFont="1" applyFill="1" applyBorder="1" applyAlignment="1" applyProtection="1">
      <alignment horizontal="left"/>
    </xf>
    <xf numFmtId="0" fontId="54" fillId="35" borderId="11" xfId="0" applyFont="1" applyFill="1" applyBorder="1" applyAlignment="1" applyProtection="1">
      <alignment horizontal="left"/>
    </xf>
    <xf numFmtId="0" fontId="54" fillId="35" borderId="26" xfId="0" applyFont="1" applyFill="1" applyBorder="1" applyAlignment="1" applyProtection="1">
      <alignment horizontal="left"/>
    </xf>
    <xf numFmtId="0" fontId="54" fillId="29" borderId="21" xfId="0" applyFont="1" applyFill="1" applyBorder="1" applyAlignment="1" applyProtection="1">
      <alignment horizontal="left"/>
    </xf>
    <xf numFmtId="0" fontId="54" fillId="29" borderId="11" xfId="0" applyFont="1" applyFill="1" applyBorder="1" applyAlignment="1" applyProtection="1">
      <alignment horizontal="left"/>
    </xf>
    <xf numFmtId="0" fontId="54" fillId="29" borderId="26" xfId="0" applyFont="1" applyFill="1" applyBorder="1" applyAlignment="1" applyProtection="1">
      <alignment horizontal="left"/>
    </xf>
    <xf numFmtId="0" fontId="54" fillId="36" borderId="21" xfId="0" applyFont="1" applyFill="1" applyBorder="1" applyAlignment="1" applyProtection="1">
      <alignment horizontal="left"/>
    </xf>
    <xf numFmtId="0" fontId="54" fillId="36" borderId="11" xfId="0" applyFont="1" applyFill="1" applyBorder="1" applyAlignment="1" applyProtection="1">
      <alignment horizontal="left"/>
    </xf>
    <xf numFmtId="0" fontId="54" fillId="36" borderId="26" xfId="0" applyFont="1" applyFill="1" applyBorder="1" applyAlignment="1" applyProtection="1">
      <alignment horizontal="left"/>
    </xf>
    <xf numFmtId="0" fontId="54" fillId="34" borderId="21" xfId="0" applyFont="1" applyFill="1" applyBorder="1" applyAlignment="1" applyProtection="1">
      <alignment horizontal="left"/>
    </xf>
    <xf numFmtId="0" fontId="54" fillId="34" borderId="11" xfId="0" applyFont="1" applyFill="1" applyBorder="1" applyAlignment="1" applyProtection="1">
      <alignment horizontal="left"/>
    </xf>
    <xf numFmtId="0" fontId="54" fillId="34" borderId="26" xfId="0" applyFont="1" applyFill="1" applyBorder="1" applyAlignment="1" applyProtection="1">
      <alignment horizontal="left"/>
    </xf>
    <xf numFmtId="165" fontId="114" fillId="23" borderId="57" xfId="45" applyFont="1" applyFill="1" applyBorder="1" applyAlignment="1" applyProtection="1">
      <alignment horizontal="left"/>
    </xf>
    <xf numFmtId="165" fontId="114" fillId="23" borderId="29" xfId="45" applyFont="1" applyFill="1" applyBorder="1" applyAlignment="1" applyProtection="1">
      <alignment horizontal="left"/>
    </xf>
    <xf numFmtId="165" fontId="114" fillId="34" borderId="57" xfId="45" applyFont="1" applyFill="1" applyBorder="1" applyAlignment="1" applyProtection="1">
      <alignment horizontal="center"/>
    </xf>
    <xf numFmtId="165" fontId="114" fillId="34" borderId="29" xfId="45" applyFont="1" applyFill="1" applyBorder="1" applyAlignment="1" applyProtection="1">
      <alignment horizontal="center"/>
    </xf>
    <xf numFmtId="165" fontId="126" fillId="24" borderId="61" xfId="45" applyFont="1" applyFill="1" applyBorder="1" applyAlignment="1">
      <alignment horizontal="center" vertical="center"/>
    </xf>
    <xf numFmtId="165" fontId="126" fillId="24" borderId="92" xfId="45" applyFont="1" applyFill="1" applyBorder="1" applyAlignment="1">
      <alignment horizontal="center" vertical="center"/>
    </xf>
    <xf numFmtId="165" fontId="124" fillId="18" borderId="13" xfId="45" applyFont="1" applyFill="1" applyBorder="1" applyAlignment="1">
      <alignment horizontal="center" wrapText="1"/>
    </xf>
    <xf numFmtId="0" fontId="118" fillId="20" borderId="39" xfId="0" applyFont="1" applyFill="1" applyBorder="1" applyAlignment="1">
      <alignment horizontal="center"/>
    </xf>
    <xf numFmtId="0" fontId="118" fillId="20" borderId="57" xfId="0" applyFont="1" applyFill="1" applyBorder="1" applyAlignment="1">
      <alignment horizontal="center"/>
    </xf>
    <xf numFmtId="0" fontId="118" fillId="20" borderId="29" xfId="0" applyFont="1" applyFill="1" applyBorder="1" applyAlignment="1">
      <alignment horizontal="center"/>
    </xf>
    <xf numFmtId="0" fontId="123" fillId="18" borderId="36" xfId="0" applyFont="1" applyFill="1" applyBorder="1" applyAlignment="1">
      <alignment horizontal="center" wrapText="1"/>
    </xf>
    <xf numFmtId="0" fontId="123" fillId="18" borderId="32" xfId="0" applyFont="1" applyFill="1" applyBorder="1" applyAlignment="1">
      <alignment horizontal="center" wrapText="1"/>
    </xf>
    <xf numFmtId="0" fontId="123" fillId="18" borderId="15" xfId="0" applyFont="1" applyFill="1" applyBorder="1" applyAlignment="1">
      <alignment horizontal="center" wrapText="1"/>
    </xf>
    <xf numFmtId="0" fontId="123" fillId="18" borderId="37" xfId="0" applyFont="1" applyFill="1" applyBorder="1" applyAlignment="1">
      <alignment horizontal="center" wrapText="1"/>
    </xf>
    <xf numFmtId="0" fontId="26" fillId="20" borderId="25" xfId="0" applyFont="1" applyFill="1" applyBorder="1" applyAlignment="1">
      <alignment horizontal="center" vertical="center"/>
    </xf>
    <xf numFmtId="0" fontId="26" fillId="20" borderId="57" xfId="0" applyFont="1" applyFill="1" applyBorder="1" applyAlignment="1">
      <alignment horizontal="center" vertical="center"/>
    </xf>
    <xf numFmtId="0" fontId="26" fillId="20" borderId="51" xfId="0" applyFont="1" applyFill="1" applyBorder="1" applyAlignment="1">
      <alignment horizontal="center" vertical="center"/>
    </xf>
    <xf numFmtId="0" fontId="26" fillId="22" borderId="40" xfId="0" applyFont="1" applyFill="1" applyBorder="1" applyAlignment="1">
      <alignment horizontal="left"/>
    </xf>
    <xf numFmtId="0" fontId="26" fillId="22" borderId="62" xfId="0" applyFont="1" applyFill="1" applyBorder="1" applyAlignment="1">
      <alignment horizontal="left"/>
    </xf>
    <xf numFmtId="0" fontId="26" fillId="22" borderId="27" xfId="0" applyFont="1" applyFill="1" applyBorder="1" applyAlignment="1">
      <alignment horizontal="left"/>
    </xf>
    <xf numFmtId="0" fontId="123" fillId="20" borderId="57" xfId="0" applyFont="1" applyFill="1" applyBorder="1" applyAlignment="1">
      <alignment horizontal="left" wrapText="1"/>
    </xf>
    <xf numFmtId="0" fontId="123" fillId="20" borderId="44" xfId="0" applyFont="1" applyFill="1" applyBorder="1" applyAlignment="1">
      <alignment horizontal="left" wrapText="1"/>
    </xf>
    <xf numFmtId="0" fontId="123" fillId="20" borderId="29" xfId="0" applyFont="1" applyFill="1" applyBorder="1" applyAlignment="1">
      <alignment horizontal="left" wrapText="1"/>
    </xf>
    <xf numFmtId="0" fontId="26" fillId="24" borderId="13" xfId="0" applyFont="1" applyFill="1" applyBorder="1" applyAlignment="1">
      <alignment horizontal="left" wrapText="1"/>
    </xf>
    <xf numFmtId="0" fontId="125" fillId="24" borderId="39" xfId="0" applyFont="1" applyFill="1" applyBorder="1" applyAlignment="1">
      <alignment horizontal="center" vertical="top" wrapText="1"/>
    </xf>
    <xf numFmtId="0" fontId="125" fillId="24" borderId="57" xfId="0" applyFont="1" applyFill="1" applyBorder="1" applyAlignment="1">
      <alignment horizontal="center" vertical="top" wrapText="1"/>
    </xf>
    <xf numFmtId="0" fontId="125" fillId="24" borderId="29" xfId="0" applyFont="1" applyFill="1" applyBorder="1" applyAlignment="1">
      <alignment horizontal="center" vertical="top" wrapText="1"/>
    </xf>
    <xf numFmtId="165" fontId="124" fillId="18" borderId="10" xfId="45" applyFont="1" applyFill="1" applyBorder="1" applyAlignment="1">
      <alignment horizontal="left" vertical="center"/>
    </xf>
    <xf numFmtId="165" fontId="124" fillId="18" borderId="0" xfId="45" applyFont="1" applyFill="1" applyBorder="1" applyAlignment="1">
      <alignment horizontal="left" vertical="center"/>
    </xf>
    <xf numFmtId="165" fontId="124" fillId="18" borderId="12" xfId="45" applyFont="1" applyFill="1" applyBorder="1" applyAlignment="1">
      <alignment horizontal="left" vertical="center"/>
    </xf>
    <xf numFmtId="165" fontId="124" fillId="18" borderId="70" xfId="45" applyFont="1" applyFill="1" applyBorder="1" applyAlignment="1">
      <alignment horizontal="center" vertical="center"/>
    </xf>
    <xf numFmtId="165" fontId="124" fillId="18" borderId="63" xfId="45" applyFont="1" applyFill="1" applyBorder="1" applyAlignment="1">
      <alignment horizontal="center" vertical="center"/>
    </xf>
    <xf numFmtId="165" fontId="124" fillId="18" borderId="61" xfId="45" applyFont="1" applyFill="1" applyBorder="1" applyAlignment="1">
      <alignment horizontal="center" vertical="center"/>
    </xf>
    <xf numFmtId="165" fontId="124" fillId="18" borderId="92" xfId="45" applyFont="1" applyFill="1" applyBorder="1" applyAlignment="1">
      <alignment horizontal="center" vertical="center"/>
    </xf>
    <xf numFmtId="165" fontId="124" fillId="18" borderId="71" xfId="45" applyFont="1" applyFill="1" applyBorder="1" applyAlignment="1">
      <alignment horizontal="center" vertical="center"/>
    </xf>
    <xf numFmtId="165" fontId="124" fillId="18" borderId="97" xfId="45" applyFont="1" applyFill="1" applyBorder="1" applyAlignment="1">
      <alignment horizontal="center" vertical="center"/>
    </xf>
    <xf numFmtId="0" fontId="26" fillId="24" borderId="11" xfId="0" applyFont="1" applyFill="1" applyBorder="1" applyAlignment="1">
      <alignment horizontal="left" wrapText="1"/>
    </xf>
    <xf numFmtId="0" fontId="26" fillId="24" borderId="41" xfId="0" applyFont="1" applyFill="1" applyBorder="1" applyAlignment="1">
      <alignment horizontal="left" wrapText="1"/>
    </xf>
    <xf numFmtId="0" fontId="26" fillId="24" borderId="55" xfId="0" applyFont="1" applyFill="1" applyBorder="1" applyAlignment="1">
      <alignment horizontal="left" wrapText="1"/>
    </xf>
    <xf numFmtId="0" fontId="26" fillId="24" borderId="56" xfId="0" applyFont="1" applyFill="1" applyBorder="1" applyAlignment="1">
      <alignment horizontal="left" wrapText="1"/>
    </xf>
    <xf numFmtId="0" fontId="122" fillId="20" borderId="39" xfId="0" applyFont="1" applyFill="1" applyBorder="1" applyAlignment="1">
      <alignment horizontal="center"/>
    </xf>
    <xf numFmtId="0" fontId="122" fillId="20" borderId="57" xfId="0" applyFont="1" applyFill="1" applyBorder="1" applyAlignment="1">
      <alignment horizontal="center"/>
    </xf>
    <xf numFmtId="0" fontId="123" fillId="18" borderId="13" xfId="0" applyFont="1" applyFill="1" applyBorder="1" applyAlignment="1">
      <alignment horizontal="center" wrapText="1"/>
    </xf>
    <xf numFmtId="0" fontId="26" fillId="24" borderId="40" xfId="0" applyFont="1" applyFill="1" applyBorder="1" applyAlignment="1">
      <alignment horizontal="left" wrapText="1"/>
    </xf>
    <xf numFmtId="0" fontId="26" fillId="24" borderId="62" xfId="0" applyFont="1" applyFill="1" applyBorder="1" applyAlignment="1">
      <alignment horizontal="left" wrapText="1"/>
    </xf>
    <xf numFmtId="0" fontId="26" fillId="24" borderId="27" xfId="0" applyFont="1" applyFill="1" applyBorder="1" applyAlignment="1">
      <alignment horizontal="left" wrapText="1"/>
    </xf>
    <xf numFmtId="0" fontId="40" fillId="20" borderId="39" xfId="0" applyFont="1" applyFill="1" applyBorder="1" applyAlignment="1" applyProtection="1">
      <alignment horizontal="center"/>
    </xf>
    <xf numFmtId="0" fontId="40" fillId="20" borderId="57" xfId="0" applyFont="1" applyFill="1" applyBorder="1" applyAlignment="1" applyProtection="1">
      <alignment horizontal="center"/>
    </xf>
    <xf numFmtId="0" fontId="40" fillId="20" borderId="29" xfId="0" applyFont="1" applyFill="1" applyBorder="1" applyAlignment="1" applyProtection="1">
      <alignment horizontal="center"/>
    </xf>
    <xf numFmtId="0" fontId="21" fillId="20" borderId="49" xfId="0" applyFont="1" applyFill="1" applyBorder="1" applyAlignment="1" applyProtection="1">
      <alignment horizontal="center" vertical="center"/>
    </xf>
    <xf numFmtId="0" fontId="31" fillId="20" borderId="39" xfId="0" applyFont="1" applyFill="1" applyBorder="1" applyAlignment="1" applyProtection="1">
      <alignment horizontal="center"/>
    </xf>
    <xf numFmtId="0" fontId="31" fillId="20" borderId="57" xfId="0" applyFont="1" applyFill="1" applyBorder="1" applyAlignment="1" applyProtection="1">
      <alignment horizontal="center"/>
    </xf>
    <xf numFmtId="0" fontId="31" fillId="20" borderId="29" xfId="0" applyFont="1" applyFill="1" applyBorder="1" applyAlignment="1" applyProtection="1">
      <alignment horizontal="center"/>
    </xf>
    <xf numFmtId="0" fontId="68" fillId="20" borderId="39" xfId="0" applyFont="1" applyFill="1" applyBorder="1" applyAlignment="1" applyProtection="1">
      <alignment horizontal="center"/>
    </xf>
    <xf numFmtId="0" fontId="68" fillId="20" borderId="57" xfId="0" applyFont="1" applyFill="1" applyBorder="1" applyAlignment="1" applyProtection="1">
      <alignment horizontal="center"/>
    </xf>
    <xf numFmtId="0" fontId="68" fillId="20" borderId="29" xfId="0" applyFont="1" applyFill="1" applyBorder="1" applyAlignment="1" applyProtection="1">
      <alignment horizontal="center"/>
    </xf>
    <xf numFmtId="0" fontId="39" fillId="20" borderId="39" xfId="0" applyFont="1" applyFill="1" applyBorder="1" applyAlignment="1" applyProtection="1">
      <alignment horizontal="center"/>
    </xf>
    <xf numFmtId="0" fontId="39" fillId="20" borderId="57" xfId="0" applyFont="1" applyFill="1" applyBorder="1" applyAlignment="1" applyProtection="1">
      <alignment horizontal="center"/>
    </xf>
    <xf numFmtId="0" fontId="39" fillId="20" borderId="44" xfId="0" applyFont="1" applyFill="1" applyBorder="1" applyAlignment="1" applyProtection="1">
      <alignment horizontal="center"/>
    </xf>
    <xf numFmtId="0" fontId="39" fillId="20" borderId="50" xfId="0" applyFont="1" applyFill="1" applyBorder="1" applyAlignment="1" applyProtection="1">
      <alignment horizontal="center"/>
    </xf>
    <xf numFmtId="0" fontId="21" fillId="20" borderId="16" xfId="0" applyFont="1" applyFill="1" applyBorder="1" applyAlignment="1" applyProtection="1">
      <alignment horizontal="center" vertical="center"/>
    </xf>
    <xf numFmtId="0" fontId="21" fillId="20" borderId="18" xfId="0" applyFont="1" applyFill="1" applyBorder="1" applyAlignment="1" applyProtection="1">
      <alignment horizontal="center" vertical="center"/>
    </xf>
    <xf numFmtId="3" fontId="0" fillId="0" borderId="40" xfId="0" applyNumberFormat="1" applyBorder="1" applyAlignment="1">
      <alignment horizontal="center"/>
    </xf>
    <xf numFmtId="3" fontId="0" fillId="0" borderId="92" xfId="0" applyNumberFormat="1" applyBorder="1" applyAlignment="1">
      <alignment horizontal="center"/>
    </xf>
    <xf numFmtId="3" fontId="0" fillId="0" borderId="43" xfId="0" applyNumberFormat="1" applyBorder="1" applyAlignment="1">
      <alignment horizontal="center"/>
    </xf>
    <xf numFmtId="3" fontId="0" fillId="0" borderId="105" xfId="0" applyNumberFormat="1" applyBorder="1" applyAlignment="1">
      <alignment horizontal="center"/>
    </xf>
    <xf numFmtId="3" fontId="21" fillId="0" borderId="25" xfId="0" applyNumberFormat="1" applyFont="1" applyBorder="1" applyAlignment="1">
      <alignment horizontal="center"/>
    </xf>
    <xf numFmtId="3" fontId="21" fillId="0" borderId="29" xfId="0" applyNumberFormat="1" applyFont="1" applyBorder="1" applyAlignment="1">
      <alignment horizontal="center"/>
    </xf>
    <xf numFmtId="0" fontId="26" fillId="18" borderId="0" xfId="0" applyFont="1" applyFill="1" applyBorder="1" applyAlignment="1">
      <alignment horizontal="center"/>
    </xf>
    <xf numFmtId="0" fontId="29" fillId="18" borderId="61" xfId="0" applyFont="1" applyFill="1" applyBorder="1" applyAlignment="1">
      <alignment horizontal="center"/>
    </xf>
    <xf numFmtId="0" fontId="29" fillId="18" borderId="62" xfId="0" applyFont="1" applyFill="1" applyBorder="1" applyAlignment="1">
      <alignment horizontal="center"/>
    </xf>
    <xf numFmtId="0" fontId="29" fillId="18" borderId="92" xfId="0" applyFont="1" applyFill="1" applyBorder="1" applyAlignment="1">
      <alignment horizontal="center"/>
    </xf>
    <xf numFmtId="0" fontId="26" fillId="18" borderId="13" xfId="0" applyFont="1" applyFill="1" applyBorder="1" applyAlignment="1">
      <alignment horizontal="center"/>
    </xf>
    <xf numFmtId="0" fontId="26" fillId="18" borderId="30" xfId="0" applyFont="1" applyFill="1" applyBorder="1" applyAlignment="1">
      <alignment horizontal="center"/>
    </xf>
    <xf numFmtId="0" fontId="29" fillId="18" borderId="16" xfId="0" applyFont="1" applyFill="1" applyBorder="1" applyAlignment="1">
      <alignment horizontal="center"/>
    </xf>
    <xf numFmtId="0" fontId="29" fillId="18" borderId="15" xfId="0" applyFont="1" applyFill="1" applyBorder="1" applyAlignment="1">
      <alignment horizontal="center"/>
    </xf>
    <xf numFmtId="0" fontId="29" fillId="18" borderId="37" xfId="0" applyFont="1" applyFill="1" applyBorder="1" applyAlignment="1">
      <alignment horizontal="center"/>
    </xf>
    <xf numFmtId="0" fontId="29" fillId="18" borderId="19" xfId="0" applyFont="1" applyFill="1" applyBorder="1" applyAlignment="1">
      <alignment horizontal="center"/>
    </xf>
    <xf numFmtId="0" fontId="29" fillId="18" borderId="13" xfId="0" applyFont="1" applyFill="1" applyBorder="1" applyAlignment="1">
      <alignment horizontal="center"/>
    </xf>
    <xf numFmtId="0" fontId="29" fillId="18" borderId="30" xfId="0" applyFont="1" applyFill="1" applyBorder="1" applyAlignment="1">
      <alignment horizontal="center"/>
    </xf>
    <xf numFmtId="0" fontId="21" fillId="18" borderId="24" xfId="0" applyFont="1" applyFill="1" applyBorder="1" applyAlignment="1">
      <alignment horizontal="center"/>
    </xf>
    <xf numFmtId="0" fontId="21" fillId="18" borderId="28" xfId="0" applyFont="1" applyFill="1" applyBorder="1" applyAlignment="1">
      <alignment horizontal="center"/>
    </xf>
    <xf numFmtId="0" fontId="21" fillId="18" borderId="48" xfId="0" applyFont="1" applyFill="1" applyBorder="1" applyAlignment="1">
      <alignment horizontal="center"/>
    </xf>
    <xf numFmtId="0" fontId="21" fillId="18" borderId="16" xfId="0" applyFont="1" applyFill="1" applyBorder="1" applyAlignment="1">
      <alignment horizontal="center"/>
    </xf>
    <xf numFmtId="0" fontId="21" fillId="18" borderId="15" xfId="0" applyFont="1" applyFill="1" applyBorder="1" applyAlignment="1">
      <alignment horizontal="center"/>
    </xf>
    <xf numFmtId="0" fontId="21" fillId="18" borderId="37" xfId="0" applyFont="1" applyFill="1" applyBorder="1" applyAlignment="1">
      <alignment horizontal="center"/>
    </xf>
    <xf numFmtId="0" fontId="26" fillId="18" borderId="18" xfId="0" applyFont="1" applyFill="1" applyBorder="1" applyAlignment="1">
      <alignment horizontal="center"/>
    </xf>
    <xf numFmtId="0" fontId="26" fillId="18" borderId="14" xfId="0" applyFont="1" applyFill="1" applyBorder="1" applyAlignment="1">
      <alignment horizontal="center"/>
    </xf>
    <xf numFmtId="0" fontId="25" fillId="18" borderId="0" xfId="0" applyFont="1" applyFill="1" applyAlignment="1">
      <alignment horizontal="center" wrapText="1"/>
    </xf>
    <xf numFmtId="0" fontId="21" fillId="0" borderId="70" xfId="0" applyFont="1" applyBorder="1" applyAlignment="1">
      <alignment horizontal="center"/>
    </xf>
    <xf numFmtId="0" fontId="21" fillId="0" borderId="63" xfId="0" applyFont="1" applyBorder="1" applyAlignment="1">
      <alignment horizontal="center"/>
    </xf>
    <xf numFmtId="0" fontId="54" fillId="18" borderId="70" xfId="0" applyFont="1" applyFill="1" applyBorder="1" applyAlignment="1">
      <alignment horizontal="center"/>
    </xf>
    <xf numFmtId="0" fontId="54" fillId="18" borderId="63" xfId="0" applyFont="1" applyFill="1" applyBorder="1" applyAlignment="1">
      <alignment horizontal="center"/>
    </xf>
    <xf numFmtId="0" fontId="21" fillId="22" borderId="39" xfId="0" applyFont="1" applyFill="1" applyBorder="1" applyAlignment="1" applyProtection="1">
      <alignment horizontal="center" wrapText="1"/>
    </xf>
    <xf numFmtId="0" fontId="21" fillId="22" borderId="57" xfId="0" applyFont="1" applyFill="1" applyBorder="1" applyAlignment="1" applyProtection="1">
      <alignment horizontal="center"/>
    </xf>
    <xf numFmtId="0" fontId="21" fillId="22" borderId="29" xfId="0" applyFont="1" applyFill="1" applyBorder="1" applyAlignment="1" applyProtection="1">
      <alignment horizontal="center"/>
    </xf>
    <xf numFmtId="0" fontId="0" fillId="22" borderId="19" xfId="0" applyFill="1" applyBorder="1" applyAlignment="1" applyProtection="1">
      <alignment horizontal="center"/>
    </xf>
    <xf numFmtId="0" fontId="0" fillId="22" borderId="13" xfId="0" applyFill="1" applyBorder="1" applyAlignment="1" applyProtection="1">
      <alignment horizontal="center"/>
    </xf>
    <xf numFmtId="0" fontId="26" fillId="20" borderId="52" xfId="0" applyFont="1" applyFill="1" applyBorder="1" applyAlignment="1" applyProtection="1">
      <alignment horizontal="center"/>
    </xf>
    <xf numFmtId="0" fontId="26" fillId="20" borderId="68" xfId="0" applyFont="1" applyFill="1" applyBorder="1" applyAlignment="1" applyProtection="1">
      <alignment horizontal="center"/>
    </xf>
    <xf numFmtId="165" fontId="20" fillId="24" borderId="40" xfId="45" applyFont="1" applyFill="1" applyBorder="1" applyAlignment="1" applyProtection="1">
      <alignment horizontal="center"/>
    </xf>
    <xf numFmtId="165" fontId="20" fillId="24" borderId="27" xfId="45" applyFont="1" applyFill="1" applyBorder="1" applyAlignment="1" applyProtection="1">
      <alignment horizontal="center"/>
    </xf>
    <xf numFmtId="0" fontId="47" fillId="18" borderId="0" xfId="0" applyFont="1" applyFill="1" applyBorder="1" applyAlignment="1" applyProtection="1">
      <alignment horizontal="center"/>
    </xf>
    <xf numFmtId="165" fontId="21" fillId="24" borderId="41" xfId="0" applyNumberFormat="1" applyFont="1" applyFill="1" applyBorder="1" applyAlignment="1" applyProtection="1">
      <alignment horizontal="center"/>
    </xf>
    <xf numFmtId="165" fontId="21" fillId="24" borderId="56" xfId="0" applyNumberFormat="1" applyFont="1" applyFill="1" applyBorder="1" applyAlignment="1" applyProtection="1">
      <alignment horizontal="center"/>
    </xf>
    <xf numFmtId="0" fontId="26" fillId="18" borderId="0" xfId="0" applyFont="1" applyFill="1" applyBorder="1" applyAlignment="1" applyProtection="1">
      <alignment horizontal="center"/>
    </xf>
    <xf numFmtId="0" fontId="26" fillId="30" borderId="83" xfId="0" applyFont="1" applyFill="1" applyBorder="1" applyAlignment="1" applyProtection="1">
      <alignment horizontal="center"/>
    </xf>
    <xf numFmtId="0" fontId="26" fillId="30" borderId="60" xfId="0" applyFont="1" applyFill="1" applyBorder="1" applyAlignment="1" applyProtection="1">
      <alignment horizontal="center"/>
    </xf>
    <xf numFmtId="0" fontId="26" fillId="30" borderId="10" xfId="0" applyFont="1" applyFill="1" applyBorder="1" applyAlignment="1" applyProtection="1">
      <alignment horizontal="center"/>
    </xf>
    <xf numFmtId="0" fontId="26" fillId="30" borderId="12" xfId="0" applyFont="1" applyFill="1" applyBorder="1" applyAlignment="1" applyProtection="1">
      <alignment horizontal="center"/>
    </xf>
    <xf numFmtId="0" fontId="0" fillId="24" borderId="18" xfId="0" applyFill="1" applyBorder="1" applyAlignment="1" applyProtection="1">
      <alignment horizontal="center"/>
    </xf>
    <xf numFmtId="0" fontId="0" fillId="24" borderId="14" xfId="0" applyFill="1" applyBorder="1" applyAlignment="1" applyProtection="1">
      <alignment horizontal="center"/>
    </xf>
    <xf numFmtId="0" fontId="21" fillId="36" borderId="39" xfId="0" applyFont="1" applyFill="1" applyBorder="1" applyAlignment="1" applyProtection="1">
      <alignment horizontal="center"/>
    </xf>
    <xf numFmtId="0" fontId="21" fillId="36" borderId="57" xfId="0" applyFont="1" applyFill="1" applyBorder="1" applyAlignment="1" applyProtection="1">
      <alignment horizontal="center"/>
    </xf>
    <xf numFmtId="0" fontId="21" fillId="36" borderId="29" xfId="0" applyFont="1" applyFill="1" applyBorder="1" applyAlignment="1" applyProtection="1">
      <alignment horizontal="center"/>
    </xf>
    <xf numFmtId="0" fontId="26" fillId="30" borderId="64" xfId="0" applyFont="1" applyFill="1" applyBorder="1" applyAlignment="1" applyProtection="1">
      <alignment horizontal="center"/>
    </xf>
    <xf numFmtId="0" fontId="21" fillId="20" borderId="44" xfId="0" applyFont="1" applyFill="1" applyBorder="1" applyAlignment="1" applyProtection="1">
      <alignment horizontal="center"/>
    </xf>
    <xf numFmtId="0" fontId="21" fillId="20" borderId="50" xfId="0" applyFont="1" applyFill="1" applyBorder="1" applyAlignment="1" applyProtection="1">
      <alignment horizontal="center"/>
    </xf>
    <xf numFmtId="0" fontId="47" fillId="0" borderId="24" xfId="0" applyFont="1" applyBorder="1" applyAlignment="1" applyProtection="1">
      <alignment horizontal="center"/>
    </xf>
    <xf numFmtId="0" fontId="47" fillId="0" borderId="48" xfId="0" applyFont="1" applyBorder="1" applyAlignment="1" applyProtection="1">
      <alignment horizontal="center"/>
    </xf>
    <xf numFmtId="0" fontId="40" fillId="20" borderId="70" xfId="0" applyFont="1" applyFill="1" applyBorder="1" applyAlignment="1" applyProtection="1">
      <alignment horizontal="center" vertical="center"/>
    </xf>
    <xf numFmtId="0" fontId="40" fillId="20" borderId="82" xfId="0" applyFont="1" applyFill="1" applyBorder="1" applyAlignment="1" applyProtection="1">
      <alignment horizontal="center" vertical="center"/>
    </xf>
    <xf numFmtId="0" fontId="40" fillId="20" borderId="63" xfId="0" applyFont="1" applyFill="1" applyBorder="1" applyAlignment="1" applyProtection="1">
      <alignment horizontal="center" vertical="center"/>
    </xf>
    <xf numFmtId="0" fontId="21" fillId="22" borderId="57" xfId="0" applyFont="1" applyFill="1" applyBorder="1" applyAlignment="1" applyProtection="1">
      <alignment horizontal="center" wrapText="1"/>
    </xf>
    <xf numFmtId="0" fontId="21" fillId="22" borderId="29" xfId="0" applyFont="1" applyFill="1" applyBorder="1" applyAlignment="1" applyProtection="1">
      <alignment horizontal="center" wrapText="1"/>
    </xf>
    <xf numFmtId="0" fontId="40" fillId="20" borderId="78" xfId="0" applyFont="1" applyFill="1" applyBorder="1" applyAlignment="1" applyProtection="1">
      <alignment horizontal="center" vertical="center"/>
    </xf>
    <xf numFmtId="0" fontId="40" fillId="20" borderId="84" xfId="0" applyFont="1" applyFill="1" applyBorder="1" applyAlignment="1" applyProtection="1">
      <alignment horizontal="center" vertical="center"/>
    </xf>
    <xf numFmtId="0" fontId="40" fillId="20" borderId="105" xfId="0" applyFont="1" applyFill="1" applyBorder="1" applyAlignment="1" applyProtection="1">
      <alignment horizontal="center" vertical="center"/>
    </xf>
    <xf numFmtId="0" fontId="21" fillId="20" borderId="10" xfId="0" applyFont="1" applyFill="1" applyBorder="1" applyAlignment="1" applyProtection="1">
      <alignment horizontal="center" vertical="center" wrapText="1"/>
    </xf>
    <xf numFmtId="0" fontId="21" fillId="20" borderId="0" xfId="0" applyFont="1" applyFill="1" applyBorder="1" applyAlignment="1" applyProtection="1">
      <alignment horizontal="center" vertical="center" wrapText="1"/>
    </xf>
    <xf numFmtId="0" fontId="21" fillId="22" borderId="13" xfId="0" applyFont="1" applyFill="1" applyBorder="1" applyAlignment="1" applyProtection="1">
      <alignment horizontal="center" vertical="center" wrapText="1"/>
    </xf>
    <xf numFmtId="0" fontId="26" fillId="22" borderId="39" xfId="0" applyFont="1" applyFill="1" applyBorder="1" applyAlignment="1">
      <alignment horizontal="center"/>
    </xf>
    <xf numFmtId="0" fontId="26" fillId="22" borderId="57" xfId="0" applyFont="1" applyFill="1" applyBorder="1" applyAlignment="1">
      <alignment horizontal="center"/>
    </xf>
    <xf numFmtId="0" fontId="26" fillId="22" borderId="29" xfId="0" applyFont="1" applyFill="1" applyBorder="1" applyAlignment="1">
      <alignment horizontal="center"/>
    </xf>
    <xf numFmtId="0" fontId="21" fillId="22" borderId="39" xfId="0" applyFont="1" applyFill="1" applyBorder="1" applyAlignment="1">
      <alignment wrapText="1"/>
    </xf>
    <xf numFmtId="0" fontId="21" fillId="22" borderId="29" xfId="0" applyFont="1" applyFill="1" applyBorder="1" applyAlignment="1">
      <alignment wrapText="1"/>
    </xf>
    <xf numFmtId="0" fontId="26" fillId="22" borderId="70" xfId="0" applyFont="1" applyFill="1" applyBorder="1" applyAlignment="1">
      <alignment horizontal="center"/>
    </xf>
    <xf numFmtId="0" fontId="26" fillId="22" borderId="63" xfId="0" applyFont="1" applyFill="1" applyBorder="1" applyAlignment="1">
      <alignment horizontal="center"/>
    </xf>
    <xf numFmtId="167" fontId="29" fillId="24" borderId="39" xfId="0" applyNumberFormat="1" applyFont="1" applyFill="1" applyBorder="1" applyAlignment="1">
      <alignment horizontal="center"/>
    </xf>
    <xf numFmtId="167" fontId="29" fillId="24" borderId="29" xfId="0" applyNumberFormat="1" applyFont="1" applyFill="1" applyBorder="1" applyAlignment="1">
      <alignment horizontal="center"/>
    </xf>
    <xf numFmtId="0" fontId="21" fillId="22" borderId="45" xfId="0" applyFont="1" applyFill="1" applyBorder="1" applyAlignment="1">
      <alignment horizontal="left" indent="1"/>
    </xf>
    <xf numFmtId="0" fontId="21" fillId="22" borderId="50" xfId="0" applyFont="1" applyFill="1" applyBorder="1" applyAlignment="1">
      <alignment horizontal="left" indent="1"/>
    </xf>
    <xf numFmtId="0" fontId="21" fillId="22" borderId="19" xfId="0" applyFont="1" applyFill="1" applyBorder="1" applyAlignment="1">
      <alignment horizontal="left" indent="1"/>
    </xf>
    <xf numFmtId="0" fontId="21" fillId="22" borderId="13" xfId="0" applyFont="1" applyFill="1" applyBorder="1" applyAlignment="1">
      <alignment horizontal="left" indent="1"/>
    </xf>
    <xf numFmtId="0" fontId="21" fillId="22" borderId="39" xfId="0" applyFont="1" applyFill="1" applyBorder="1" applyAlignment="1">
      <alignment horizontal="left" wrapText="1" indent="1"/>
    </xf>
    <xf numFmtId="0" fontId="21" fillId="22" borderId="29" xfId="0" applyFont="1" applyFill="1" applyBorder="1" applyAlignment="1">
      <alignment horizontal="left" wrapText="1" indent="1"/>
    </xf>
    <xf numFmtId="9" fontId="26" fillId="22" borderId="19" xfId="35" applyFont="1" applyFill="1" applyBorder="1" applyAlignment="1">
      <alignment horizontal="left" indent="1"/>
    </xf>
    <xf numFmtId="9" fontId="26" fillId="22" borderId="13" xfId="35" applyFont="1" applyFill="1" applyBorder="1" applyAlignment="1">
      <alignment horizontal="left" indent="1"/>
    </xf>
    <xf numFmtId="0" fontId="21" fillId="22" borderId="18" xfId="0" applyFont="1" applyFill="1" applyBorder="1" applyAlignment="1">
      <alignment horizontal="left" indent="1"/>
    </xf>
    <xf numFmtId="0" fontId="21" fillId="22" borderId="14" xfId="0" applyFont="1" applyFill="1" applyBorder="1" applyAlignment="1">
      <alignment horizontal="left" indent="1"/>
    </xf>
    <xf numFmtId="0" fontId="94" fillId="18" borderId="0" xfId="0" applyFont="1" applyFill="1" applyBorder="1" applyAlignment="1">
      <alignment horizontal="center"/>
    </xf>
    <xf numFmtId="9" fontId="26" fillId="22" borderId="16" xfId="35" applyFont="1" applyFill="1" applyBorder="1" applyAlignment="1">
      <alignment horizontal="left" indent="1"/>
    </xf>
    <xf numFmtId="9" fontId="26" fillId="22" borderId="15" xfId="35" applyFont="1" applyFill="1" applyBorder="1" applyAlignment="1">
      <alignment horizontal="left" indent="1"/>
    </xf>
    <xf numFmtId="0" fontId="40" fillId="20" borderId="45" xfId="0" applyFont="1" applyFill="1" applyBorder="1" applyAlignment="1" applyProtection="1">
      <alignment horizontal="center"/>
    </xf>
    <xf numFmtId="0" fontId="40" fillId="20" borderId="44" xfId="0" applyFont="1" applyFill="1" applyBorder="1" applyAlignment="1" applyProtection="1">
      <alignment horizontal="center"/>
    </xf>
    <xf numFmtId="0" fontId="40" fillId="20" borderId="50" xfId="0" applyFont="1" applyFill="1" applyBorder="1" applyAlignment="1" applyProtection="1">
      <alignment horizontal="center"/>
    </xf>
    <xf numFmtId="0" fontId="0" fillId="25" borderId="13" xfId="0" applyFill="1" applyBorder="1" applyAlignment="1" applyProtection="1">
      <alignment horizontal="center"/>
      <protection hidden="1"/>
    </xf>
    <xf numFmtId="0" fontId="29" fillId="24" borderId="39" xfId="0" applyFont="1" applyFill="1" applyBorder="1" applyAlignment="1">
      <alignment horizontal="center"/>
    </xf>
    <xf numFmtId="0" fontId="29" fillId="24" borderId="29" xfId="0" applyFont="1" applyFill="1" applyBorder="1" applyAlignment="1">
      <alignment horizontal="center"/>
    </xf>
    <xf numFmtId="0" fontId="89" fillId="22" borderId="40" xfId="0" applyFont="1" applyFill="1" applyBorder="1" applyAlignment="1">
      <alignment horizontal="center" wrapText="1"/>
    </xf>
    <xf numFmtId="0" fontId="89" fillId="22" borderId="62" xfId="0" applyFont="1" applyFill="1" applyBorder="1" applyAlignment="1">
      <alignment horizontal="center" wrapText="1"/>
    </xf>
    <xf numFmtId="0" fontId="89" fillId="22" borderId="27" xfId="0" applyFont="1" applyFill="1" applyBorder="1" applyAlignment="1">
      <alignment horizontal="center" wrapText="1"/>
    </xf>
    <xf numFmtId="0" fontId="26" fillId="22" borderId="45" xfId="0" applyFont="1" applyFill="1" applyBorder="1" applyAlignment="1">
      <alignment horizontal="center"/>
    </xf>
    <xf numFmtId="0" fontId="26" fillId="22" borderId="44" xfId="0" applyFont="1" applyFill="1" applyBorder="1" applyAlignment="1">
      <alignment horizontal="center"/>
    </xf>
    <xf numFmtId="0" fontId="26" fillId="22" borderId="50" xfId="0" applyFont="1" applyFill="1" applyBorder="1" applyAlignment="1">
      <alignment horizontal="center"/>
    </xf>
    <xf numFmtId="0" fontId="98" fillId="22" borderId="20" xfId="0" applyFont="1" applyFill="1" applyBorder="1" applyAlignment="1">
      <alignment horizontal="center" wrapText="1"/>
    </xf>
    <xf numFmtId="0" fontId="98" fillId="22" borderId="17" xfId="0" applyFont="1" applyFill="1" applyBorder="1" applyAlignment="1">
      <alignment horizontal="center" wrapText="1"/>
    </xf>
    <xf numFmtId="0" fontId="98" fillId="22" borderId="51" xfId="0" applyFont="1" applyFill="1" applyBorder="1" applyAlignment="1">
      <alignment horizontal="center" wrapText="1"/>
    </xf>
    <xf numFmtId="0" fontId="26" fillId="24" borderId="22" xfId="0" applyFont="1" applyFill="1" applyBorder="1" applyAlignment="1">
      <alignment horizontal="center" vertical="center" wrapText="1"/>
    </xf>
    <xf numFmtId="0" fontId="26" fillId="24" borderId="83" xfId="0" applyFont="1" applyFill="1" applyBorder="1" applyAlignment="1">
      <alignment horizontal="center" vertical="center" wrapText="1"/>
    </xf>
    <xf numFmtId="0" fontId="26" fillId="24" borderId="75" xfId="0" applyFont="1" applyFill="1" applyBorder="1" applyAlignment="1">
      <alignment horizontal="center" vertical="center" wrapText="1"/>
    </xf>
    <xf numFmtId="0" fontId="25" fillId="22" borderId="39" xfId="0" applyFont="1" applyFill="1" applyBorder="1" applyAlignment="1">
      <alignment horizontal="center"/>
    </xf>
    <xf numFmtId="0" fontId="25" fillId="22" borderId="57" xfId="0" applyFont="1" applyFill="1" applyBorder="1" applyAlignment="1">
      <alignment horizontal="center"/>
    </xf>
    <xf numFmtId="0" fontId="25" fillId="22" borderId="29" xfId="0" applyFont="1" applyFill="1" applyBorder="1" applyAlignment="1">
      <alignment horizontal="center"/>
    </xf>
    <xf numFmtId="0" fontId="59" fillId="22" borderId="52" xfId="0" applyFont="1" applyFill="1" applyBorder="1" applyAlignment="1">
      <alignment horizontal="center" wrapText="1"/>
    </xf>
    <xf numFmtId="0" fontId="59" fillId="22" borderId="82" xfId="0" applyFont="1" applyFill="1" applyBorder="1" applyAlignment="1">
      <alignment horizontal="center" wrapText="1"/>
    </xf>
    <xf numFmtId="0" fontId="59" fillId="22" borderId="63" xfId="0" applyFont="1" applyFill="1" applyBorder="1" applyAlignment="1">
      <alignment horizontal="center" wrapText="1"/>
    </xf>
    <xf numFmtId="0" fontId="59" fillId="22" borderId="41" xfId="0" applyFont="1" applyFill="1" applyBorder="1" applyAlignment="1">
      <alignment horizontal="center" wrapText="1"/>
    </xf>
    <xf numFmtId="0" fontId="59" fillId="22" borderId="55" xfId="0" applyFont="1" applyFill="1" applyBorder="1" applyAlignment="1">
      <alignment horizontal="center" wrapText="1"/>
    </xf>
    <xf numFmtId="0" fontId="59" fillId="22" borderId="97" xfId="0" applyFont="1" applyFill="1" applyBorder="1" applyAlignment="1">
      <alignment horizontal="center" wrapText="1"/>
    </xf>
    <xf numFmtId="0" fontId="26" fillId="24" borderId="70" xfId="0" applyFont="1" applyFill="1" applyBorder="1" applyAlignment="1">
      <alignment horizontal="center"/>
    </xf>
    <xf numFmtId="0" fontId="26" fillId="24" borderId="63" xfId="0" applyFont="1" applyFill="1" applyBorder="1" applyAlignment="1">
      <alignment horizontal="center"/>
    </xf>
    <xf numFmtId="0" fontId="59" fillId="22" borderId="40" xfId="0" applyFont="1" applyFill="1" applyBorder="1" applyAlignment="1">
      <alignment horizontal="center" wrapText="1"/>
    </xf>
    <xf numFmtId="0" fontId="59" fillId="22" borderId="62" xfId="0" applyFont="1" applyFill="1" applyBorder="1" applyAlignment="1">
      <alignment horizontal="center" wrapText="1"/>
    </xf>
    <xf numFmtId="0" fontId="59" fillId="22" borderId="92" xfId="0" applyFont="1" applyFill="1" applyBorder="1" applyAlignment="1">
      <alignment horizontal="center" wrapText="1"/>
    </xf>
    <xf numFmtId="0" fontId="26" fillId="24" borderId="70" xfId="0" applyFont="1" applyFill="1" applyBorder="1" applyAlignment="1">
      <alignment horizontal="center" wrapText="1"/>
    </xf>
    <xf numFmtId="0" fontId="26" fillId="24" borderId="63" xfId="0" applyFont="1" applyFill="1" applyBorder="1" applyAlignment="1">
      <alignment horizontal="center" wrapText="1"/>
    </xf>
    <xf numFmtId="0" fontId="26" fillId="24" borderId="82" xfId="0" applyFont="1" applyFill="1" applyBorder="1" applyAlignment="1">
      <alignment horizontal="center"/>
    </xf>
    <xf numFmtId="0" fontId="26" fillId="24" borderId="68" xfId="0" applyFont="1" applyFill="1" applyBorder="1" applyAlignment="1">
      <alignment horizontal="center"/>
    </xf>
    <xf numFmtId="0" fontId="26" fillId="24" borderId="13" xfId="0" applyFont="1" applyFill="1" applyBorder="1" applyAlignment="1">
      <alignment horizontal="center"/>
    </xf>
    <xf numFmtId="0" fontId="25" fillId="22" borderId="20" xfId="0" applyFont="1" applyFill="1" applyBorder="1" applyAlignment="1">
      <alignment horizontal="center" wrapText="1"/>
    </xf>
    <xf numFmtId="0" fontId="25" fillId="22" borderId="17" xfId="0" applyFont="1" applyFill="1" applyBorder="1" applyAlignment="1">
      <alignment horizontal="center" wrapText="1"/>
    </xf>
    <xf numFmtId="0" fontId="25" fillId="22" borderId="51" xfId="0" applyFont="1" applyFill="1" applyBorder="1" applyAlignment="1">
      <alignment horizontal="center" wrapText="1"/>
    </xf>
    <xf numFmtId="0" fontId="26" fillId="24" borderId="39" xfId="0" applyFont="1" applyFill="1" applyBorder="1" applyAlignment="1">
      <alignment horizontal="center"/>
    </xf>
    <xf numFmtId="0" fontId="26" fillId="24" borderId="29" xfId="0" applyFont="1" applyFill="1" applyBorder="1" applyAlignment="1">
      <alignment horizontal="center"/>
    </xf>
    <xf numFmtId="0" fontId="25" fillId="22" borderId="45" xfId="0" applyFont="1" applyFill="1" applyBorder="1" applyAlignment="1">
      <alignment horizontal="center" wrapText="1"/>
    </xf>
    <xf numFmtId="0" fontId="25" fillId="22" borderId="44" xfId="0" applyFont="1" applyFill="1" applyBorder="1" applyAlignment="1">
      <alignment horizontal="center" wrapText="1"/>
    </xf>
    <xf numFmtId="0" fontId="25" fillId="22" borderId="50" xfId="0" applyFont="1" applyFill="1" applyBorder="1" applyAlignment="1">
      <alignment horizontal="center" wrapText="1"/>
    </xf>
    <xf numFmtId="0" fontId="25" fillId="22" borderId="25" xfId="0" applyFont="1" applyFill="1" applyBorder="1" applyAlignment="1">
      <alignment horizontal="center"/>
    </xf>
    <xf numFmtId="0" fontId="89" fillId="21" borderId="13" xfId="0" applyFont="1" applyFill="1" applyBorder="1" applyAlignment="1">
      <alignment horizontal="center" wrapText="1"/>
    </xf>
    <xf numFmtId="0" fontId="25" fillId="24" borderId="40" xfId="0" applyFont="1" applyFill="1" applyBorder="1" applyAlignment="1">
      <alignment horizontal="left" wrapText="1"/>
    </xf>
    <xf numFmtId="0" fontId="25" fillId="24" borderId="62" xfId="0" applyFont="1" applyFill="1" applyBorder="1" applyAlignment="1">
      <alignment horizontal="left" wrapText="1"/>
    </xf>
    <xf numFmtId="0" fontId="25" fillId="24" borderId="27" xfId="0" applyFont="1" applyFill="1" applyBorder="1" applyAlignment="1">
      <alignment horizontal="left" wrapText="1"/>
    </xf>
    <xf numFmtId="0" fontId="25" fillId="24" borderId="43" xfId="0" applyFont="1" applyFill="1" applyBorder="1" applyAlignment="1">
      <alignment horizontal="left" wrapText="1"/>
    </xf>
    <xf numFmtId="0" fontId="25" fillId="24" borderId="84" xfId="0" applyFont="1" applyFill="1" applyBorder="1" applyAlignment="1">
      <alignment horizontal="left" wrapText="1"/>
    </xf>
    <xf numFmtId="0" fontId="25" fillId="24" borderId="59" xfId="0" applyFont="1" applyFill="1" applyBorder="1" applyAlignment="1">
      <alignment horizontal="left" wrapText="1"/>
    </xf>
    <xf numFmtId="0" fontId="21" fillId="24" borderId="45" xfId="0" applyFont="1" applyFill="1" applyBorder="1" applyAlignment="1" applyProtection="1">
      <alignment horizontal="center"/>
      <protection locked="0"/>
    </xf>
    <xf numFmtId="0" fontId="21" fillId="24" borderId="44" xfId="0" applyFont="1" applyFill="1" applyBorder="1" applyAlignment="1" applyProtection="1">
      <alignment horizontal="center"/>
      <protection locked="0"/>
    </xf>
    <xf numFmtId="0" fontId="21" fillId="24" borderId="50" xfId="0" applyFont="1" applyFill="1" applyBorder="1" applyAlignment="1" applyProtection="1">
      <alignment horizontal="center"/>
      <protection locked="0"/>
    </xf>
    <xf numFmtId="0" fontId="26" fillId="24" borderId="45" xfId="0" applyFont="1" applyFill="1" applyBorder="1" applyAlignment="1" applyProtection="1">
      <alignment horizontal="center"/>
      <protection locked="0"/>
    </xf>
    <xf numFmtId="0" fontId="26" fillId="24" borderId="44" xfId="0" applyFont="1" applyFill="1" applyBorder="1" applyAlignment="1" applyProtection="1">
      <alignment horizontal="center"/>
      <protection locked="0"/>
    </xf>
    <xf numFmtId="0" fontId="26" fillId="24" borderId="50" xfId="0" applyFont="1" applyFill="1" applyBorder="1" applyAlignment="1" applyProtection="1">
      <alignment horizontal="center"/>
      <protection locked="0"/>
    </xf>
    <xf numFmtId="0" fontId="0" fillId="18" borderId="18" xfId="0" applyFill="1" applyBorder="1" applyAlignment="1" applyProtection="1">
      <alignment horizontal="center"/>
      <protection locked="0"/>
    </xf>
    <xf numFmtId="0" fontId="0" fillId="18" borderId="14" xfId="0" applyFill="1" applyBorder="1" applyAlignment="1" applyProtection="1">
      <alignment horizontal="center"/>
      <protection locked="0"/>
    </xf>
    <xf numFmtId="0" fontId="0" fillId="18" borderId="19" xfId="0" applyFill="1" applyBorder="1" applyAlignment="1" applyProtection="1">
      <alignment horizontal="center"/>
      <protection locked="0"/>
    </xf>
    <xf numFmtId="0" fontId="0" fillId="18" borderId="13" xfId="0" applyFill="1" applyBorder="1" applyAlignment="1" applyProtection="1">
      <alignment horizontal="center"/>
      <protection locked="0"/>
    </xf>
    <xf numFmtId="0" fontId="26" fillId="18" borderId="52" xfId="0" applyFont="1" applyFill="1" applyBorder="1" applyAlignment="1" applyProtection="1">
      <alignment horizontal="center"/>
      <protection locked="0"/>
    </xf>
    <xf numFmtId="0" fontId="26" fillId="18" borderId="82" xfId="0" applyFont="1" applyFill="1" applyBorder="1" applyAlignment="1" applyProtection="1">
      <alignment horizontal="center"/>
      <protection locked="0"/>
    </xf>
    <xf numFmtId="0" fontId="26" fillId="18" borderId="63" xfId="0" applyFont="1" applyFill="1" applyBorder="1" applyAlignment="1" applyProtection="1">
      <alignment horizontal="center"/>
      <protection locked="0"/>
    </xf>
    <xf numFmtId="0" fontId="99" fillId="18" borderId="10" xfId="0" applyFont="1" applyFill="1" applyBorder="1" applyAlignment="1" applyProtection="1">
      <alignment horizontal="center" wrapText="1"/>
      <protection locked="0"/>
    </xf>
    <xf numFmtId="0" fontId="99" fillId="18" borderId="0" xfId="0" applyFont="1" applyFill="1" applyBorder="1" applyAlignment="1" applyProtection="1">
      <alignment horizontal="center" wrapText="1"/>
      <protection locked="0"/>
    </xf>
    <xf numFmtId="0" fontId="26" fillId="18" borderId="45" xfId="0" applyFont="1" applyFill="1" applyBorder="1" applyAlignment="1" applyProtection="1">
      <alignment horizontal="center" vertical="center"/>
      <protection locked="0"/>
    </xf>
    <xf numFmtId="0" fontId="26" fillId="18" borderId="31" xfId="0" applyFont="1" applyFill="1" applyBorder="1" applyAlignment="1" applyProtection="1">
      <alignment horizontal="center" vertical="center"/>
      <protection locked="0"/>
    </xf>
    <xf numFmtId="0" fontId="26" fillId="18" borderId="69" xfId="0" applyFont="1" applyFill="1" applyBorder="1" applyAlignment="1" applyProtection="1">
      <alignment horizontal="center" vertical="center"/>
      <protection locked="0"/>
    </xf>
    <xf numFmtId="0" fontId="26" fillId="18" borderId="58" xfId="0" applyFont="1" applyFill="1" applyBorder="1" applyAlignment="1" applyProtection="1">
      <alignment horizontal="center" vertical="center"/>
      <protection locked="0"/>
    </xf>
    <xf numFmtId="0" fontId="26" fillId="18" borderId="15" xfId="0" applyFont="1" applyFill="1" applyBorder="1" applyAlignment="1" applyProtection="1">
      <alignment horizontal="center"/>
      <protection locked="0"/>
    </xf>
    <xf numFmtId="0" fontId="30" fillId="18" borderId="45" xfId="0" applyFont="1" applyFill="1" applyBorder="1" applyAlignment="1" applyProtection="1">
      <alignment horizontal="center" vertical="top" wrapText="1"/>
      <protection locked="0"/>
    </xf>
    <xf numFmtId="0" fontId="30" fillId="18" borderId="44" xfId="0" applyFont="1" applyFill="1" applyBorder="1" applyAlignment="1" applyProtection="1">
      <alignment horizontal="center" vertical="top" wrapText="1"/>
      <protection locked="0"/>
    </xf>
    <xf numFmtId="0" fontId="30" fillId="18" borderId="50" xfId="0" applyFont="1" applyFill="1" applyBorder="1" applyAlignment="1" applyProtection="1">
      <alignment horizontal="center" vertical="top" wrapText="1"/>
      <protection locked="0"/>
    </xf>
    <xf numFmtId="0" fontId="30" fillId="18" borderId="10" xfId="0" applyFont="1" applyFill="1" applyBorder="1" applyAlignment="1" applyProtection="1">
      <alignment horizontal="center" vertical="top" wrapText="1"/>
      <protection locked="0"/>
    </xf>
    <xf numFmtId="0" fontId="30" fillId="18" borderId="0" xfId="0" applyFont="1" applyFill="1" applyBorder="1" applyAlignment="1" applyProtection="1">
      <alignment horizontal="center" vertical="top" wrapText="1"/>
      <protection locked="0"/>
    </xf>
    <xf numFmtId="0" fontId="30" fillId="18" borderId="12" xfId="0" applyFont="1" applyFill="1" applyBorder="1" applyAlignment="1" applyProtection="1">
      <alignment horizontal="center" vertical="top" wrapText="1"/>
      <protection locked="0"/>
    </xf>
    <xf numFmtId="0" fontId="30" fillId="18" borderId="20" xfId="0" applyFont="1" applyFill="1" applyBorder="1" applyAlignment="1" applyProtection="1">
      <alignment horizontal="center" vertical="top" wrapText="1"/>
      <protection locked="0"/>
    </xf>
    <xf numFmtId="0" fontId="30" fillId="18" borderId="17" xfId="0" applyFont="1" applyFill="1" applyBorder="1" applyAlignment="1" applyProtection="1">
      <alignment horizontal="center" vertical="top" wrapText="1"/>
      <protection locked="0"/>
    </xf>
    <xf numFmtId="0" fontId="30" fillId="18" borderId="51" xfId="0" applyFont="1" applyFill="1" applyBorder="1" applyAlignment="1" applyProtection="1">
      <alignment horizontal="center" vertical="top" wrapText="1"/>
      <protection locked="0"/>
    </xf>
    <xf numFmtId="165" fontId="0" fillId="18" borderId="39" xfId="45" applyFont="1" applyFill="1" applyBorder="1" applyAlignment="1" applyProtection="1">
      <alignment horizontal="center"/>
      <protection locked="0"/>
    </xf>
    <xf numFmtId="165" fontId="0" fillId="18" borderId="29" xfId="45" applyFont="1" applyFill="1" applyBorder="1" applyAlignment="1" applyProtection="1">
      <alignment horizontal="center"/>
      <protection locked="0"/>
    </xf>
    <xf numFmtId="0" fontId="26" fillId="18" borderId="39" xfId="0" applyFont="1" applyFill="1" applyBorder="1" applyAlignment="1" applyProtection="1">
      <alignment horizontal="center" vertical="top" wrapText="1"/>
      <protection locked="0"/>
    </xf>
    <xf numFmtId="0" fontId="26" fillId="18" borderId="29" xfId="0" applyFont="1" applyFill="1" applyBorder="1" applyAlignment="1" applyProtection="1">
      <alignment horizontal="center" vertical="top" wrapText="1"/>
      <protection locked="0"/>
    </xf>
    <xf numFmtId="0" fontId="26" fillId="18" borderId="39" xfId="0" applyFont="1" applyFill="1" applyBorder="1" applyAlignment="1" applyProtection="1">
      <alignment horizontal="center" wrapText="1"/>
      <protection locked="0"/>
    </xf>
    <xf numFmtId="0" fontId="26" fillId="18" borderId="29" xfId="0" applyFont="1" applyFill="1" applyBorder="1" applyAlignment="1" applyProtection="1">
      <alignment horizontal="center" wrapText="1"/>
      <protection locked="0"/>
    </xf>
    <xf numFmtId="0" fontId="26" fillId="24" borderId="57" xfId="0" applyFont="1" applyFill="1" applyBorder="1" applyAlignment="1">
      <alignment horizontal="center"/>
    </xf>
    <xf numFmtId="0" fontId="94" fillId="18" borderId="13" xfId="0" applyFont="1" applyFill="1" applyBorder="1" applyAlignment="1">
      <alignment wrapText="1"/>
    </xf>
    <xf numFmtId="0" fontId="94" fillId="18" borderId="13" xfId="0" applyFont="1" applyFill="1" applyBorder="1" applyAlignment="1"/>
    <xf numFmtId="0" fontId="35" fillId="18" borderId="45" xfId="0" applyFont="1" applyFill="1" applyBorder="1" applyAlignment="1">
      <alignment horizontal="center" wrapText="1"/>
    </xf>
    <xf numFmtId="0" fontId="35" fillId="18" borderId="50" xfId="0" applyFont="1" applyFill="1" applyBorder="1" applyAlignment="1">
      <alignment horizontal="center" wrapText="1"/>
    </xf>
    <xf numFmtId="0" fontId="1" fillId="18" borderId="13" xfId="0" applyFont="1" applyFill="1" applyBorder="1" applyAlignment="1">
      <alignment horizontal="center" wrapText="1"/>
    </xf>
    <xf numFmtId="0" fontId="1" fillId="18" borderId="13" xfId="0" applyFont="1" applyFill="1" applyBorder="1" applyAlignment="1">
      <alignment horizontal="center"/>
    </xf>
    <xf numFmtId="0" fontId="108" fillId="18" borderId="13" xfId="0" applyNumberFormat="1" applyFont="1" applyFill="1" applyBorder="1" applyAlignment="1">
      <alignment horizontal="left"/>
    </xf>
    <xf numFmtId="0" fontId="114" fillId="18" borderId="45" xfId="0" applyNumberFormat="1" applyFont="1" applyFill="1" applyBorder="1" applyAlignment="1">
      <alignment horizontal="center"/>
    </xf>
    <xf numFmtId="0" fontId="114" fillId="18" borderId="44" xfId="0" applyNumberFormat="1" applyFont="1" applyFill="1" applyBorder="1" applyAlignment="1">
      <alignment horizontal="center"/>
    </xf>
    <xf numFmtId="0" fontId="114" fillId="18" borderId="50" xfId="0" applyNumberFormat="1" applyFont="1" applyFill="1" applyBorder="1" applyAlignment="1">
      <alignment horizontal="center"/>
    </xf>
    <xf numFmtId="0" fontId="117" fillId="18" borderId="39" xfId="0" applyFont="1" applyFill="1" applyBorder="1" applyAlignment="1">
      <alignment horizontal="center" wrapText="1"/>
    </xf>
    <xf numFmtId="0" fontId="117" fillId="18" borderId="29" xfId="0" applyFont="1" applyFill="1" applyBorder="1" applyAlignment="1">
      <alignment horizontal="center" wrapText="1"/>
    </xf>
    <xf numFmtId="0" fontId="21" fillId="18" borderId="19" xfId="0" applyNumberFormat="1" applyFont="1" applyFill="1" applyBorder="1" applyAlignment="1">
      <alignment horizontal="center"/>
    </xf>
    <xf numFmtId="0" fontId="21" fillId="18" borderId="13" xfId="0" applyNumberFormat="1" applyFont="1" applyFill="1" applyBorder="1" applyAlignment="1">
      <alignment horizontal="center"/>
    </xf>
    <xf numFmtId="0" fontId="108" fillId="18" borderId="13" xfId="0" applyFont="1" applyFill="1" applyBorder="1" applyAlignment="1">
      <alignment horizontal="left"/>
    </xf>
    <xf numFmtId="0" fontId="29" fillId="18" borderId="16" xfId="0" applyFont="1" applyFill="1" applyBorder="1" applyAlignment="1" applyProtection="1">
      <alignment horizontal="center"/>
    </xf>
    <xf numFmtId="0" fontId="29" fillId="18" borderId="15" xfId="0" applyFont="1" applyFill="1" applyBorder="1" applyAlignment="1" applyProtection="1">
      <alignment horizontal="center"/>
    </xf>
    <xf numFmtId="0" fontId="29" fillId="18" borderId="37" xfId="0" applyFont="1" applyFill="1" applyBorder="1" applyAlignment="1" applyProtection="1">
      <alignment horizontal="center"/>
    </xf>
    <xf numFmtId="0" fontId="54" fillId="18" borderId="19" xfId="0" applyFont="1" applyFill="1" applyBorder="1" applyAlignment="1" applyProtection="1">
      <alignment horizontal="left"/>
    </xf>
    <xf numFmtId="0" fontId="54" fillId="18" borderId="13" xfId="0" applyFont="1" applyFill="1" applyBorder="1" applyAlignment="1" applyProtection="1">
      <alignment horizontal="left"/>
    </xf>
    <xf numFmtId="0" fontId="54" fillId="18" borderId="30" xfId="0" applyFont="1" applyFill="1" applyBorder="1" applyAlignment="1" applyProtection="1">
      <alignment horizontal="left"/>
    </xf>
    <xf numFmtId="0" fontId="26" fillId="18" borderId="39" xfId="0" applyFont="1" applyFill="1" applyBorder="1" applyAlignment="1">
      <alignment horizontal="center"/>
    </xf>
    <xf numFmtId="0" fontId="26" fillId="18" borderId="29" xfId="0" applyFont="1" applyFill="1" applyBorder="1" applyAlignment="1">
      <alignment horizontal="center"/>
    </xf>
    <xf numFmtId="0" fontId="29" fillId="0" borderId="39" xfId="0" applyFont="1" applyFill="1" applyBorder="1" applyAlignment="1" applyProtection="1">
      <alignment horizontal="center"/>
      <protection hidden="1"/>
    </xf>
    <xf numFmtId="0" fontId="29" fillId="0" borderId="57" xfId="0" applyFont="1" applyFill="1" applyBorder="1" applyAlignment="1" applyProtection="1">
      <alignment horizontal="center"/>
      <protection hidden="1"/>
    </xf>
    <xf numFmtId="0" fontId="29" fillId="0" borderId="47" xfId="0" applyFont="1" applyFill="1" applyBorder="1" applyAlignment="1" applyProtection="1">
      <alignment horizontal="center"/>
      <protection hidden="1"/>
    </xf>
    <xf numFmtId="0" fontId="26" fillId="24" borderId="39" xfId="0" applyFont="1" applyFill="1" applyBorder="1" applyAlignment="1" applyProtection="1">
      <alignment horizontal="center"/>
      <protection hidden="1"/>
    </xf>
    <xf numFmtId="0" fontId="26" fillId="24" borderId="57" xfId="0" applyFont="1" applyFill="1" applyBorder="1" applyAlignment="1" applyProtection="1">
      <alignment horizontal="center"/>
      <protection hidden="1"/>
    </xf>
    <xf numFmtId="0" fontId="26" fillId="24" borderId="29" xfId="0" applyFont="1" applyFill="1" applyBorder="1" applyAlignment="1" applyProtection="1">
      <alignment horizontal="center"/>
      <protection hidden="1"/>
    </xf>
    <xf numFmtId="0" fontId="26" fillId="18" borderId="39" xfId="0" applyFont="1" applyFill="1" applyBorder="1" applyAlignment="1" applyProtection="1">
      <alignment horizontal="center"/>
      <protection hidden="1"/>
    </xf>
    <xf numFmtId="0" fontId="26" fillId="18" borderId="57" xfId="0" applyFont="1" applyFill="1" applyBorder="1" applyAlignment="1" applyProtection="1">
      <alignment horizontal="center"/>
      <protection hidden="1"/>
    </xf>
    <xf numFmtId="0" fontId="26" fillId="18" borderId="29" xfId="0" applyFont="1" applyFill="1" applyBorder="1" applyAlignment="1" applyProtection="1">
      <alignment horizontal="center"/>
      <protection hidden="1"/>
    </xf>
    <xf numFmtId="0" fontId="29" fillId="18" borderId="39" xfId="0" applyFont="1" applyFill="1" applyBorder="1" applyAlignment="1" applyProtection="1">
      <alignment horizontal="center"/>
      <protection hidden="1"/>
    </xf>
    <xf numFmtId="0" fontId="29" fillId="18" borderId="57" xfId="0" applyFont="1" applyFill="1" applyBorder="1" applyAlignment="1" applyProtection="1">
      <alignment horizontal="center"/>
      <protection hidden="1"/>
    </xf>
    <xf numFmtId="0" fontId="80" fillId="18" borderId="42" xfId="0" applyFont="1" applyFill="1" applyBorder="1" applyAlignment="1" applyProtection="1">
      <alignment horizontal="center" shrinkToFit="1"/>
      <protection hidden="1"/>
    </xf>
    <xf numFmtId="0" fontId="80" fillId="18" borderId="27" xfId="0" applyFont="1" applyFill="1" applyBorder="1" applyAlignment="1" applyProtection="1">
      <alignment horizontal="center" shrinkToFit="1"/>
      <protection hidden="1"/>
    </xf>
    <xf numFmtId="0" fontId="91" fillId="0" borderId="0" xfId="0" applyFont="1" applyFill="1" applyBorder="1" applyAlignment="1" applyProtection="1">
      <alignment horizontal="center"/>
      <protection hidden="1"/>
    </xf>
    <xf numFmtId="0" fontId="26" fillId="0" borderId="45" xfId="0" applyFont="1" applyFill="1" applyBorder="1" applyAlignment="1" applyProtection="1">
      <alignment horizontal="center"/>
      <protection hidden="1"/>
    </xf>
    <xf numFmtId="0" fontId="26" fillId="0" borderId="44" xfId="0" applyFont="1" applyFill="1" applyBorder="1" applyAlignment="1" applyProtection="1">
      <alignment horizontal="center"/>
      <protection hidden="1"/>
    </xf>
    <xf numFmtId="0" fontId="26" fillId="0" borderId="50" xfId="0" applyFont="1" applyFill="1" applyBorder="1" applyAlignment="1" applyProtection="1">
      <alignment horizontal="center"/>
      <protection hidden="1"/>
    </xf>
    <xf numFmtId="0" fontId="26" fillId="0" borderId="20" xfId="0" applyFont="1" applyFill="1" applyBorder="1" applyAlignment="1" applyProtection="1">
      <alignment horizontal="center"/>
      <protection hidden="1"/>
    </xf>
    <xf numFmtId="0" fontId="26" fillId="0" borderId="17" xfId="0" applyFont="1" applyFill="1" applyBorder="1" applyAlignment="1" applyProtection="1">
      <alignment horizontal="center"/>
      <protection hidden="1"/>
    </xf>
    <xf numFmtId="0" fontId="26" fillId="0" borderId="51" xfId="0" applyFont="1" applyFill="1" applyBorder="1" applyAlignment="1" applyProtection="1">
      <alignment horizontal="center"/>
      <protection hidden="1"/>
    </xf>
    <xf numFmtId="0" fontId="80" fillId="18" borderId="40" xfId="0" applyFont="1" applyFill="1" applyBorder="1" applyAlignment="1" applyProtection="1">
      <alignment horizontal="center"/>
      <protection hidden="1"/>
    </xf>
    <xf numFmtId="0" fontId="80" fillId="18" borderId="27" xfId="0" applyFont="1" applyFill="1" applyBorder="1" applyAlignment="1" applyProtection="1">
      <alignment horizontal="center"/>
      <protection hidden="1"/>
    </xf>
    <xf numFmtId="0" fontId="26" fillId="22" borderId="39" xfId="0" applyFont="1" applyFill="1" applyBorder="1" applyAlignment="1" applyProtection="1">
      <alignment horizontal="center"/>
      <protection hidden="1"/>
    </xf>
    <xf numFmtId="0" fontId="26" fillId="22" borderId="29" xfId="0" applyFont="1" applyFill="1" applyBorder="1" applyAlignment="1" applyProtection="1">
      <alignment horizontal="center"/>
      <protection hidden="1"/>
    </xf>
    <xf numFmtId="0" fontId="21" fillId="22" borderId="39" xfId="0" applyFont="1" applyFill="1" applyBorder="1" applyAlignment="1" applyProtection="1">
      <alignment horizontal="center" vertical="center" wrapText="1"/>
      <protection hidden="1"/>
    </xf>
    <xf numFmtId="0" fontId="21" fillId="22" borderId="29" xfId="0" applyFont="1" applyFill="1" applyBorder="1" applyAlignment="1" applyProtection="1">
      <alignment horizontal="center" vertical="center" wrapText="1"/>
      <protection hidden="1"/>
    </xf>
    <xf numFmtId="0" fontId="26" fillId="22" borderId="57" xfId="0" applyFont="1" applyFill="1" applyBorder="1" applyAlignment="1" applyProtection="1">
      <alignment horizontal="center"/>
      <protection hidden="1"/>
    </xf>
    <xf numFmtId="0" fontId="26" fillId="18" borderId="52" xfId="0" applyFont="1" applyFill="1" applyBorder="1" applyAlignment="1" applyProtection="1">
      <alignment horizontal="center"/>
      <protection hidden="1"/>
    </xf>
    <xf numFmtId="0" fontId="26" fillId="18" borderId="68" xfId="0" applyFont="1" applyFill="1" applyBorder="1" applyAlignment="1" applyProtection="1">
      <alignment horizontal="center"/>
      <protection hidden="1"/>
    </xf>
    <xf numFmtId="0" fontId="21" fillId="22" borderId="45" xfId="0" applyFont="1" applyFill="1" applyBorder="1" applyAlignment="1" applyProtection="1">
      <alignment horizontal="center" vertical="center"/>
      <protection hidden="1"/>
    </xf>
    <xf numFmtId="0" fontId="21" fillId="22" borderId="69" xfId="0" applyFont="1" applyFill="1" applyBorder="1" applyAlignment="1" applyProtection="1">
      <alignment horizontal="center" vertical="center"/>
      <protection hidden="1"/>
    </xf>
    <xf numFmtId="0" fontId="21" fillId="22" borderId="50" xfId="0" applyFont="1" applyFill="1" applyBorder="1" applyAlignment="1" applyProtection="1">
      <alignment horizontal="center" wrapText="1"/>
      <protection hidden="1"/>
    </xf>
    <xf numFmtId="0" fontId="21" fillId="22" borderId="85" xfId="0" applyFont="1" applyFill="1" applyBorder="1" applyAlignment="1" applyProtection="1">
      <alignment horizontal="center" wrapText="1"/>
      <protection hidden="1"/>
    </xf>
    <xf numFmtId="0" fontId="94" fillId="18" borderId="13" xfId="0" applyFont="1" applyFill="1" applyBorder="1" applyAlignment="1">
      <alignment horizontal="left"/>
    </xf>
    <xf numFmtId="0" fontId="1" fillId="0" borderId="39" xfId="0" applyFont="1" applyBorder="1" applyAlignment="1">
      <alignment horizontal="center"/>
    </xf>
    <xf numFmtId="0" fontId="94" fillId="0" borderId="57" xfId="0" applyFont="1" applyBorder="1" applyAlignment="1">
      <alignment horizontal="center"/>
    </xf>
    <xf numFmtId="0" fontId="94" fillId="0" borderId="29" xfId="0" applyFont="1" applyBorder="1" applyAlignment="1">
      <alignment horizontal="center"/>
    </xf>
    <xf numFmtId="0" fontId="29" fillId="18" borderId="39" xfId="0" applyFont="1" applyFill="1" applyBorder="1" applyAlignment="1">
      <alignment horizontal="center"/>
    </xf>
    <xf numFmtId="0" fontId="29" fillId="18" borderId="57" xfId="0" applyFont="1" applyFill="1" applyBorder="1" applyAlignment="1">
      <alignment horizontal="center"/>
    </xf>
    <xf numFmtId="0" fontId="29" fillId="18" borderId="29" xfId="0" applyFont="1" applyFill="1" applyBorder="1" applyAlignment="1">
      <alignment horizontal="center"/>
    </xf>
    <xf numFmtId="0" fontId="26" fillId="0" borderId="0" xfId="0" applyFont="1" applyBorder="1" applyAlignment="1" applyProtection="1">
      <alignment horizontal="center"/>
      <protection locked="0"/>
    </xf>
    <xf numFmtId="0" fontId="0" fillId="0" borderId="0" xfId="0" applyBorder="1" applyAlignment="1" applyProtection="1">
      <alignment horizontal="center"/>
      <protection locked="0"/>
    </xf>
    <xf numFmtId="0" fontId="21" fillId="20" borderId="49" xfId="0" applyFont="1" applyFill="1" applyBorder="1" applyAlignment="1" applyProtection="1">
      <alignment horizontal="center" vertical="center" wrapText="1"/>
    </xf>
    <xf numFmtId="0" fontId="0" fillId="20" borderId="54" xfId="0" applyFill="1" applyBorder="1" applyProtection="1"/>
    <xf numFmtId="0" fontId="26" fillId="22" borderId="45" xfId="0" applyFont="1" applyFill="1" applyBorder="1" applyAlignment="1" applyProtection="1">
      <alignment horizontal="center" vertical="center" wrapText="1"/>
    </xf>
    <xf numFmtId="0" fontId="26" fillId="22" borderId="20" xfId="0" applyFont="1" applyFill="1" applyBorder="1" applyAlignment="1" applyProtection="1">
      <alignment horizontal="center" vertical="center"/>
    </xf>
    <xf numFmtId="0" fontId="26" fillId="0" borderId="39" xfId="0" applyFont="1" applyBorder="1" applyAlignment="1" applyProtection="1">
      <alignment horizontal="center"/>
    </xf>
    <xf numFmtId="0" fontId="26" fillId="0" borderId="57" xfId="0" applyFont="1" applyBorder="1" applyAlignment="1" applyProtection="1">
      <alignment horizontal="center"/>
    </xf>
    <xf numFmtId="0" fontId="26" fillId="0" borderId="29" xfId="0" applyFont="1" applyBorder="1" applyAlignment="1" applyProtection="1">
      <alignment horizontal="center"/>
    </xf>
    <xf numFmtId="0" fontId="26" fillId="18" borderId="39" xfId="0" applyFont="1" applyFill="1" applyBorder="1" applyAlignment="1" applyProtection="1">
      <alignment horizontal="center"/>
    </xf>
    <xf numFmtId="0" fontId="26" fillId="18" borderId="57" xfId="0" applyFont="1" applyFill="1" applyBorder="1" applyAlignment="1" applyProtection="1">
      <alignment horizontal="center"/>
    </xf>
    <xf numFmtId="0" fontId="26" fillId="18" borderId="29" xfId="0" applyFont="1" applyFill="1" applyBorder="1" applyAlignment="1" applyProtection="1">
      <alignment horizontal="center"/>
    </xf>
    <xf numFmtId="0" fontId="1" fillId="18" borderId="39" xfId="0" applyFont="1" applyFill="1" applyBorder="1" applyAlignment="1">
      <alignment horizontal="left"/>
    </xf>
    <xf numFmtId="0" fontId="1" fillId="18" borderId="57" xfId="0" applyFont="1" applyFill="1" applyBorder="1" applyAlignment="1">
      <alignment horizontal="left"/>
    </xf>
    <xf numFmtId="0" fontId="1" fillId="18" borderId="29" xfId="0" applyFont="1" applyFill="1" applyBorder="1" applyAlignment="1">
      <alignment horizontal="left"/>
    </xf>
    <xf numFmtId="0" fontId="1" fillId="18" borderId="51" xfId="0" applyFont="1" applyFill="1" applyBorder="1" applyAlignment="1">
      <alignment horizontal="left"/>
    </xf>
    <xf numFmtId="0" fontId="0" fillId="0" borderId="36" xfId="0" applyBorder="1" applyAlignment="1" applyProtection="1">
      <alignment horizontal="center" wrapText="1"/>
    </xf>
    <xf numFmtId="0" fontId="0" fillId="0" borderId="21" xfId="0" applyBorder="1" applyAlignment="1" applyProtection="1">
      <alignment horizontal="center" wrapText="1"/>
    </xf>
    <xf numFmtId="0" fontId="11" fillId="0" borderId="91" xfId="0" applyFont="1" applyBorder="1" applyAlignment="1">
      <alignment vertical="center"/>
    </xf>
    <xf numFmtId="0" fontId="11" fillId="0" borderId="13" xfId="0" applyFont="1" applyFill="1" applyBorder="1" applyAlignment="1">
      <alignment vertical="center"/>
    </xf>
  </cellXfs>
  <cellStyles count="46">
    <cellStyle name="20% - Ênfase1" xfId="1" builtinId="30" customBuiltin="1"/>
    <cellStyle name="20% - Ênfase2" xfId="2" builtinId="34" customBuiltin="1"/>
    <cellStyle name="20% - Ênfase3" xfId="3" builtinId="38" customBuiltin="1"/>
    <cellStyle name="20% - Ênfase4" xfId="4" builtinId="42" customBuiltin="1"/>
    <cellStyle name="20% - Ênfase5" xfId="5" builtinId="46" customBuiltin="1"/>
    <cellStyle name="20% - Ênfase6" xfId="6" builtinId="50" customBuiltin="1"/>
    <cellStyle name="40% - Ênfase1" xfId="7" builtinId="31" customBuiltin="1"/>
    <cellStyle name="40% - Ênfase2" xfId="8" builtinId="35" customBuiltin="1"/>
    <cellStyle name="40% - Ênfase3" xfId="9" builtinId="39" customBuiltin="1"/>
    <cellStyle name="40% - Ênfase4" xfId="10" builtinId="43" customBuiltin="1"/>
    <cellStyle name="40% - Ênfase5" xfId="11" builtinId="47" customBuiltin="1"/>
    <cellStyle name="40% - Ênfase6" xfId="12" builtinId="51" customBuiltin="1"/>
    <cellStyle name="60% - Ênfase1" xfId="13" builtinId="32" customBuiltin="1"/>
    <cellStyle name="60% - Ênfase2" xfId="14" builtinId="36" customBuiltin="1"/>
    <cellStyle name="60% - Ênfase3" xfId="15" builtinId="40" customBuiltin="1"/>
    <cellStyle name="60% - Ênfase4" xfId="16" builtinId="44" customBuiltin="1"/>
    <cellStyle name="60% - Ênfase5" xfId="17" builtinId="48" customBuiltin="1"/>
    <cellStyle name="60% - Ênfase6" xfId="18" builtinId="52" customBuiltin="1"/>
    <cellStyle name="Bom" xfId="19" builtinId="26" customBuiltin="1"/>
    <cellStyle name="Cálculo" xfId="20" builtinId="22" customBuiltin="1"/>
    <cellStyle name="Célula de Verificação" xfId="21" builtinId="23" customBuiltin="1"/>
    <cellStyle name="Célula Vinculada" xfId="22" builtinId="24" customBuiltin="1"/>
    <cellStyle name="Ênfase1" xfId="23" builtinId="29" customBuiltin="1"/>
    <cellStyle name="Ênfase2" xfId="24" builtinId="33" customBuiltin="1"/>
    <cellStyle name="Ênfase3" xfId="25" builtinId="37" customBuiltin="1"/>
    <cellStyle name="Ênfase4" xfId="26" builtinId="41" customBuiltin="1"/>
    <cellStyle name="Ênfase5" xfId="27" builtinId="45" customBuiltin="1"/>
    <cellStyle name="Ênfase6" xfId="28" builtinId="49" customBuiltin="1"/>
    <cellStyle name="Entrada" xfId="29" builtinId="20" customBuiltin="1"/>
    <cellStyle name="Incorreto" xfId="30" builtinId="27" customBuiltin="1"/>
    <cellStyle name="Moeda" xfId="31" builtinId="4"/>
    <cellStyle name="Neutra" xfId="32" builtinId="28" customBuiltin="1"/>
    <cellStyle name="Normal" xfId="0" builtinId="0"/>
    <cellStyle name="Normal 2" xfId="33"/>
    <cellStyle name="Nota" xfId="34" builtinId="10" customBuiltin="1"/>
    <cellStyle name="Porcentagem" xfId="35" builtinId="5"/>
    <cellStyle name="Saída" xfId="36" builtinId="21" customBuiltin="1"/>
    <cellStyle name="Texto de Aviso" xfId="37" builtinId="11" customBuiltin="1"/>
    <cellStyle name="Texto Explicativo" xfId="38" builtinId="53" customBuiltin="1"/>
    <cellStyle name="Título" xfId="39" builtinId="15" customBuiltin="1"/>
    <cellStyle name="Título 1" xfId="40" builtinId="16" customBuiltin="1"/>
    <cellStyle name="Título 2" xfId="41" builtinId="17" customBuiltin="1"/>
    <cellStyle name="Título 3" xfId="42" builtinId="18" customBuiltin="1"/>
    <cellStyle name="Título 4" xfId="43" builtinId="19" customBuiltin="1"/>
    <cellStyle name="Total" xfId="44" builtinId="25" customBuiltin="1"/>
    <cellStyle name="Vírgula" xfId="45" builtinId="3"/>
  </cellStyles>
  <dxfs count="30">
    <dxf>
      <font>
        <b/>
        <i val="0"/>
      </font>
      <fill>
        <patternFill>
          <bgColor rgb="FFFF0000"/>
        </patternFill>
      </fill>
      <border>
        <vertical/>
        <horizontal/>
      </border>
    </dxf>
    <dxf>
      <font>
        <color rgb="FFFF0000"/>
      </font>
      <fill>
        <patternFill patternType="none">
          <bgColor auto="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font>
      <fill>
        <patternFill>
          <bgColor rgb="FFFF0000"/>
        </patternFill>
      </fill>
    </dxf>
    <dxf>
      <fill>
        <patternFill>
          <bgColor rgb="FF92D050"/>
        </patternFill>
      </fill>
    </dxf>
    <dxf>
      <font>
        <color rgb="FFFF0000"/>
      </font>
    </dxf>
    <dxf>
      <fill>
        <patternFill>
          <bgColor rgb="FF92D050"/>
        </patternFill>
      </fill>
    </dxf>
    <dxf>
      <font>
        <color rgb="FFFF0000"/>
      </font>
      <fill>
        <patternFill patternType="none">
          <bgColor indexed="65"/>
        </patternFill>
      </fill>
    </dxf>
  </dxfs>
  <tableStyles count="0" defaultTableStyle="TableStyleMedium9" defaultPivotStyle="PivotStyleLight16"/>
  <colors>
    <mruColors>
      <color rgb="FF99FF99"/>
      <color rgb="FFCCFFFF"/>
      <color rgb="FF66FFFF"/>
      <color rgb="FF99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333333"/>
                </a:solidFill>
                <a:latin typeface="Calibri"/>
                <a:ea typeface="Calibri"/>
                <a:cs typeface="Calibri"/>
              </a:defRPr>
            </a:pPr>
            <a:r>
              <a:rPr lang="pt-BR"/>
              <a:t>Utilização da Área - VERÃO</a:t>
            </a:r>
          </a:p>
        </c:rich>
      </c:tx>
      <c:layout/>
      <c:overlay val="0"/>
      <c:spPr>
        <a:noFill/>
        <a:ln w="25400">
          <a:noFill/>
        </a:ln>
      </c:spPr>
    </c:title>
    <c:autoTitleDeleted val="0"/>
    <c:plotArea>
      <c:layout/>
      <c:pieChart>
        <c:varyColors val="1"/>
        <c:ser>
          <c:idx val="0"/>
          <c:order val="0"/>
          <c:dPt>
            <c:idx val="0"/>
            <c:bubble3D val="0"/>
            <c:spPr>
              <a:solidFill>
                <a:srgbClr val="4F81BD"/>
              </a:solidFill>
              <a:ln w="25400">
                <a:noFill/>
              </a:ln>
            </c:spPr>
          </c:dPt>
          <c:dPt>
            <c:idx val="1"/>
            <c:bubble3D val="0"/>
            <c:spPr>
              <a:solidFill>
                <a:srgbClr val="C0504D"/>
              </a:solidFill>
              <a:ln w="25400">
                <a:noFill/>
              </a:ln>
            </c:spPr>
          </c:dPt>
          <c:dPt>
            <c:idx val="2"/>
            <c:bubble3D val="0"/>
            <c:spPr>
              <a:solidFill>
                <a:srgbClr val="9BBB59"/>
              </a:solidFill>
              <a:ln w="25400">
                <a:noFill/>
              </a:ln>
            </c:spPr>
          </c:dPt>
          <c:dPt>
            <c:idx val="3"/>
            <c:bubble3D val="0"/>
            <c:spPr>
              <a:solidFill>
                <a:srgbClr val="8064A2"/>
              </a:solidFill>
              <a:ln w="25400">
                <a:noFill/>
              </a:ln>
            </c:spPr>
          </c:dPt>
          <c:dPt>
            <c:idx val="4"/>
            <c:bubble3D val="0"/>
            <c:spPr>
              <a:solidFill>
                <a:srgbClr val="4BACC6"/>
              </a:solidFill>
              <a:ln w="25400">
                <a:noFill/>
              </a:ln>
            </c:spPr>
          </c:dPt>
          <c:dPt>
            <c:idx val="5"/>
            <c:bubble3D val="0"/>
          </c:dPt>
          <c:dPt>
            <c:idx val="6"/>
            <c:bubble3D val="0"/>
          </c:dPt>
          <c:dPt>
            <c:idx val="7"/>
            <c:bubble3D val="0"/>
          </c:dPt>
          <c:dPt>
            <c:idx val="8"/>
            <c:bubble3D val="0"/>
          </c:dPt>
          <c:dLbls>
            <c:dLbl>
              <c:idx val="7"/>
              <c:layout>
                <c:manualLayout>
                  <c:x val="-6.2435289204605116E-2"/>
                  <c:y val="2.3503591656306121E-2"/>
                </c:manualLayout>
              </c:layout>
              <c:spPr>
                <a:noFill/>
                <a:ln w="25400">
                  <a:noFill/>
                </a:ln>
              </c:spPr>
              <c:txPr>
                <a:bodyPr/>
                <a:lstStyle/>
                <a:p>
                  <a:pPr>
                    <a:defRPr sz="900" b="0" i="0" u="none" strike="noStrike" baseline="0">
                      <a:solidFill>
                        <a:srgbClr val="333333"/>
                      </a:solidFill>
                      <a:latin typeface="Calibri"/>
                      <a:ea typeface="Calibri"/>
                      <a:cs typeface="Calibri"/>
                    </a:defRPr>
                  </a:pPr>
                  <a:endParaRPr lang="pt-BR"/>
                </a:p>
              </c:txPr>
              <c:dLblPos val="bestFit"/>
              <c:showLegendKey val="0"/>
              <c:showVal val="0"/>
              <c:showCatName val="1"/>
              <c:showSerName val="0"/>
              <c:showPercent val="1"/>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pt-B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SOLO!$D$110:$D$119</c:f>
            </c:strRef>
          </c:cat>
          <c:val>
            <c:numRef>
              <c:f>SOLO!$E$110:$E$119</c:f>
              <c:numCache>
                <c:formatCode>General</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b"/>
      <c:layout/>
      <c:overlay val="0"/>
      <c:spPr>
        <a:noFill/>
        <a:ln w="25400">
          <a:noFill/>
        </a:ln>
      </c:spPr>
      <c:txPr>
        <a:bodyPr/>
        <a:lstStyle/>
        <a:p>
          <a:pPr>
            <a:defRPr sz="1200" b="0" i="0" u="none" strike="noStrike" baseline="0">
              <a:solidFill>
                <a:srgbClr val="333333"/>
              </a:solidFill>
              <a:latin typeface="Calibri"/>
              <a:ea typeface="Calibri"/>
              <a:cs typeface="Calibri"/>
            </a:defRPr>
          </a:pPr>
          <a:endParaRPr lang="pt-BR"/>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Lbls>
            <c:spPr>
              <a:noFill/>
              <a:ln w="25400">
                <a:noFill/>
              </a:ln>
            </c:spPr>
            <c:txPr>
              <a:bodyPr wrap="square" lIns="38100" tIns="19050" rIns="38100" bIns="19050" anchor="ctr">
                <a:spAutoFit/>
              </a:bodyPr>
              <a:lstStyle/>
              <a:p>
                <a:pPr>
                  <a:defRPr sz="1100" b="0" i="0" u="none" strike="noStrike" baseline="0">
                    <a:solidFill>
                      <a:srgbClr val="333333"/>
                    </a:solidFill>
                    <a:latin typeface="Calibri"/>
                    <a:ea typeface="Calibri"/>
                    <a:cs typeface="Calibri"/>
                  </a:defRPr>
                </a:pPr>
                <a:endParaRPr lang="pt-B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SOLO!$F$53:$F$55</c:f>
              <c:strCache>
                <c:ptCount val="3"/>
                <c:pt idx="0">
                  <c:v>Terra própria:   </c:v>
                </c:pt>
                <c:pt idx="1">
                  <c:v>Arrendamento de terceiros:   </c:v>
                </c:pt>
                <c:pt idx="2">
                  <c:v>Arrendamento para terceiros:   </c:v>
                </c:pt>
              </c:strCache>
            </c:strRef>
          </c:cat>
          <c:val>
            <c:numRef>
              <c:f>SOLO!$G$53:$G$54</c:f>
              <c:numCache>
                <c:formatCode>0.0</c:formatCode>
                <c:ptCount val="2"/>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411134739544415"/>
          <c:y val="0.28040608131530725"/>
          <c:w val="0.49112656538370658"/>
          <c:h val="0.45448719853414549"/>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pt-BR"/>
        </a:p>
      </c:txPr>
    </c:legend>
    <c:plotVisOnly val="1"/>
    <c:dispBlanksAs val="gap"/>
    <c:showDLblsOverMax val="0"/>
  </c:chart>
  <c:spPr>
    <a:solidFill>
      <a:schemeClr val="bg1"/>
    </a:solidFill>
    <a:ln w="1587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333333"/>
                </a:solidFill>
                <a:latin typeface="Calibri"/>
                <a:ea typeface="Calibri"/>
                <a:cs typeface="Calibri"/>
              </a:defRPr>
            </a:pPr>
            <a:r>
              <a:rPr lang="pt-BR" sz="1800"/>
              <a:t>Utilização da Área - INVERNO</a:t>
            </a:r>
          </a:p>
        </c:rich>
      </c:tx>
      <c:layout/>
      <c:overlay val="0"/>
      <c:spPr>
        <a:noFill/>
        <a:ln w="25400">
          <a:noFill/>
        </a:ln>
      </c:sp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dPt>
          <c:dPt>
            <c:idx val="5"/>
            <c:bubble3D val="0"/>
          </c:dPt>
          <c:dPt>
            <c:idx val="6"/>
            <c:bubble3D val="0"/>
          </c:dPt>
          <c:dLbls>
            <c:dLbl>
              <c:idx val="1"/>
              <c:layout>
                <c:manualLayout>
                  <c:x val="0.13715179352580928"/>
                  <c:y val="-3.1057912115824231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25576815398075231"/>
                  <c:y val="-1.7218694437388875E-2"/>
                </c:manualLayout>
              </c:layout>
              <c:showLegendKey val="0"/>
              <c:showVal val="0"/>
              <c:showCatName val="1"/>
              <c:showSerName val="0"/>
              <c:showPercent val="1"/>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pt-B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SOLO!$J$110:$J$118</c:f>
              <c:strCache>
                <c:ptCount val="3"/>
                <c:pt idx="2">
                  <c:v>sobressemeadura</c:v>
                </c:pt>
              </c:strCache>
            </c:strRef>
          </c:cat>
          <c:val>
            <c:numRef>
              <c:f>SOLO!$K$110:$K$118</c:f>
              <c:numCache>
                <c:formatCode>General</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b"/>
      <c:layout/>
      <c:overlay val="0"/>
      <c:spPr>
        <a:noFill/>
        <a:ln w="25400">
          <a:noFill/>
        </a:ln>
      </c:spPr>
      <c:txPr>
        <a:bodyPr/>
        <a:lstStyle/>
        <a:p>
          <a:pPr>
            <a:defRPr sz="1200" b="0" i="0" u="none" strike="noStrike" baseline="0">
              <a:solidFill>
                <a:srgbClr val="333333"/>
              </a:solidFill>
              <a:latin typeface="Calibri"/>
              <a:ea typeface="Calibri"/>
              <a:cs typeface="Calibri"/>
            </a:defRPr>
          </a:pPr>
          <a:endParaRPr lang="pt-BR"/>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333333"/>
                </a:solidFill>
                <a:latin typeface="Calibri"/>
                <a:ea typeface="Calibri"/>
                <a:cs typeface="Calibri"/>
              </a:defRPr>
            </a:pPr>
            <a:r>
              <a:rPr lang="pt-BR" sz="1400" b="1"/>
              <a:t>Consumo de volumoso e concentrado (kg de MV por dia)</a:t>
            </a:r>
          </a:p>
        </c:rich>
      </c:tx>
      <c:layout>
        <c:manualLayout>
          <c:xMode val="edge"/>
          <c:yMode val="edge"/>
          <c:x val="0.15409141581201091"/>
          <c:y val="0.88335709912490279"/>
        </c:manualLayout>
      </c:layout>
      <c:overlay val="0"/>
      <c:spPr>
        <a:noFill/>
        <a:ln w="25400">
          <a:noFill/>
        </a:ln>
      </c:spPr>
    </c:title>
    <c:autoTitleDeleted val="0"/>
    <c:plotArea>
      <c:layout>
        <c:manualLayout>
          <c:layoutTarget val="inner"/>
          <c:xMode val="edge"/>
          <c:yMode val="edge"/>
          <c:x val="0"/>
          <c:y val="0.13248190242199251"/>
          <c:w val="1"/>
          <c:h val="0.65791299362982814"/>
        </c:manualLayout>
      </c:layout>
      <c:barChart>
        <c:barDir val="col"/>
        <c:grouping val="stacked"/>
        <c:varyColors val="0"/>
        <c:ser>
          <c:idx val="0"/>
          <c:order val="0"/>
          <c:tx>
            <c:strRef>
              <c:f>ALIMENTAÇÃO!$B$8</c:f>
              <c:strCache>
                <c:ptCount val="1"/>
                <c:pt idx="0">
                  <c:v>Silagem*</c:v>
                </c:pt>
              </c:strCache>
            </c:strRef>
          </c:tx>
          <c:spPr>
            <a:solidFill>
              <a:srgbClr val="4F81BD"/>
            </a:solidFill>
            <a:ln w="25400">
              <a:noFill/>
            </a:ln>
          </c:spPr>
          <c:invertIfNegative val="0"/>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ALIMENTAÇÃO!$C$7:$N$7</c:f>
              <c:numCache>
                <c:formatCode>mmm</c:formatCode>
                <c:ptCount val="12"/>
                <c:pt idx="0" formatCode="mmm\-yy">
                  <c:v>44013</c:v>
                </c:pt>
                <c:pt idx="1">
                  <c:v>44044</c:v>
                </c:pt>
                <c:pt idx="2">
                  <c:v>44075</c:v>
                </c:pt>
                <c:pt idx="3">
                  <c:v>44106</c:v>
                </c:pt>
                <c:pt idx="4">
                  <c:v>44137</c:v>
                </c:pt>
                <c:pt idx="5">
                  <c:v>44168</c:v>
                </c:pt>
                <c:pt idx="6">
                  <c:v>44199</c:v>
                </c:pt>
                <c:pt idx="7">
                  <c:v>44230</c:v>
                </c:pt>
                <c:pt idx="8">
                  <c:v>44261</c:v>
                </c:pt>
                <c:pt idx="9">
                  <c:v>44292</c:v>
                </c:pt>
                <c:pt idx="10">
                  <c:v>44323</c:v>
                </c:pt>
                <c:pt idx="11" formatCode="mmm\-yy">
                  <c:v>44354</c:v>
                </c:pt>
              </c:numCache>
            </c:numRef>
          </c:cat>
          <c:val>
            <c:numRef>
              <c:f>ALIMENTAÇÃO!$C$8:$N$8</c:f>
              <c:numCache>
                <c:formatCode>General</c:formatCode>
                <c:ptCount val="12"/>
              </c:numCache>
            </c:numRef>
          </c:val>
        </c:ser>
        <c:ser>
          <c:idx val="1"/>
          <c:order val="1"/>
          <c:tx>
            <c:strRef>
              <c:f>ALIMENTAÇÃO!$B$9</c:f>
              <c:strCache>
                <c:ptCount val="1"/>
                <c:pt idx="0">
                  <c:v>Concentrado</c:v>
                </c:pt>
              </c:strCache>
            </c:strRef>
          </c:tx>
          <c:spPr>
            <a:solidFill>
              <a:schemeClr val="accent6">
                <a:lumMod val="75000"/>
              </a:schemeClr>
            </a:solidFill>
            <a:ln w="25400">
              <a:noFill/>
            </a:ln>
          </c:spPr>
          <c:invertIfNegative val="0"/>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ALIMENTAÇÃO!$C$7:$N$7</c:f>
              <c:numCache>
                <c:formatCode>mmm</c:formatCode>
                <c:ptCount val="12"/>
                <c:pt idx="0" formatCode="mmm\-yy">
                  <c:v>44013</c:v>
                </c:pt>
                <c:pt idx="1">
                  <c:v>44044</c:v>
                </c:pt>
                <c:pt idx="2">
                  <c:v>44075</c:v>
                </c:pt>
                <c:pt idx="3">
                  <c:v>44106</c:v>
                </c:pt>
                <c:pt idx="4">
                  <c:v>44137</c:v>
                </c:pt>
                <c:pt idx="5">
                  <c:v>44168</c:v>
                </c:pt>
                <c:pt idx="6">
                  <c:v>44199</c:v>
                </c:pt>
                <c:pt idx="7">
                  <c:v>44230</c:v>
                </c:pt>
                <c:pt idx="8">
                  <c:v>44261</c:v>
                </c:pt>
                <c:pt idx="9">
                  <c:v>44292</c:v>
                </c:pt>
                <c:pt idx="10">
                  <c:v>44323</c:v>
                </c:pt>
                <c:pt idx="11" formatCode="mmm\-yy">
                  <c:v>44354</c:v>
                </c:pt>
              </c:numCache>
            </c:numRef>
          </c:cat>
          <c:val>
            <c:numRef>
              <c:f>ALIMENTAÇÃO!$C$9:$N$9</c:f>
              <c:numCache>
                <c:formatCode>General</c:formatCode>
                <c:ptCount val="12"/>
              </c:numCache>
            </c:numRef>
          </c:val>
        </c:ser>
        <c:ser>
          <c:idx val="2"/>
          <c:order val="2"/>
          <c:tx>
            <c:strRef>
              <c:f>ALIMENTAÇÃO!$B$11</c:f>
              <c:strCache>
                <c:ptCount val="1"/>
                <c:pt idx="0">
                  <c:v>Consumo estimado de pasto</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ALIMENTAÇÃO!$C$7:$N$7</c:f>
              <c:numCache>
                <c:formatCode>mmm</c:formatCode>
                <c:ptCount val="12"/>
                <c:pt idx="0" formatCode="mmm\-yy">
                  <c:v>44013</c:v>
                </c:pt>
                <c:pt idx="1">
                  <c:v>44044</c:v>
                </c:pt>
                <c:pt idx="2">
                  <c:v>44075</c:v>
                </c:pt>
                <c:pt idx="3">
                  <c:v>44106</c:v>
                </c:pt>
                <c:pt idx="4">
                  <c:v>44137</c:v>
                </c:pt>
                <c:pt idx="5">
                  <c:v>44168</c:v>
                </c:pt>
                <c:pt idx="6">
                  <c:v>44199</c:v>
                </c:pt>
                <c:pt idx="7">
                  <c:v>44230</c:v>
                </c:pt>
                <c:pt idx="8">
                  <c:v>44261</c:v>
                </c:pt>
                <c:pt idx="9">
                  <c:v>44292</c:v>
                </c:pt>
                <c:pt idx="10">
                  <c:v>44323</c:v>
                </c:pt>
                <c:pt idx="11" formatCode="mmm\-yy">
                  <c:v>44354</c:v>
                </c:pt>
              </c:numCache>
            </c:numRef>
          </c:cat>
          <c:val>
            <c:numRef>
              <c:f>ALIMENTAÇÃO!$C$11:$N$11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overlap val="100"/>
        <c:axId val="780058944"/>
        <c:axId val="780059336"/>
      </c:barChart>
      <c:dateAx>
        <c:axId val="78005894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pt-BR"/>
          </a:p>
        </c:txPr>
        <c:crossAx val="780059336"/>
        <c:crosses val="autoZero"/>
        <c:auto val="1"/>
        <c:lblOffset val="100"/>
        <c:baseTimeUnit val="months"/>
      </c:dateAx>
      <c:valAx>
        <c:axId val="780059336"/>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780058944"/>
        <c:crosses val="autoZero"/>
        <c:crossBetween val="between"/>
      </c:valAx>
      <c:spPr>
        <a:noFill/>
        <a:ln w="25400">
          <a:noFill/>
        </a:ln>
      </c:spPr>
    </c:plotArea>
    <c:legend>
      <c:legendPos val="b"/>
      <c:layout>
        <c:manualLayout>
          <c:xMode val="edge"/>
          <c:yMode val="edge"/>
          <c:x val="9.5563482671915612E-2"/>
          <c:y val="2.8663700097857601E-2"/>
          <c:w val="0.79225911527113402"/>
          <c:h val="0.1038658216503425"/>
        </c:manualLayout>
      </c:layout>
      <c:overlay val="0"/>
      <c:spPr>
        <a:noFill/>
        <a:ln w="25400">
          <a:noFill/>
        </a:ln>
      </c:spPr>
      <c:txPr>
        <a:bodyPr/>
        <a:lstStyle/>
        <a:p>
          <a:pPr>
            <a:defRPr sz="1050" b="0" i="0" u="none" strike="noStrike" baseline="0">
              <a:solidFill>
                <a:srgbClr val="333333"/>
              </a:solidFill>
              <a:latin typeface="Calibri"/>
              <a:ea typeface="Calibri"/>
              <a:cs typeface="Calibri"/>
            </a:defRPr>
          </a:pPr>
          <a:endParaRPr lang="pt-BR"/>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ALIMENTAÇÃO!$A$42:$A$44</c:f>
              <c:strCache>
                <c:ptCount val="3"/>
                <c:pt idx="0">
                  <c:v>Silagem</c:v>
                </c:pt>
                <c:pt idx="1">
                  <c:v>Concentrado</c:v>
                </c:pt>
                <c:pt idx="2">
                  <c:v>Pasto</c:v>
                </c:pt>
              </c:strCache>
            </c:strRef>
          </c:cat>
          <c:val>
            <c:numRef>
              <c:f>ALIMENTAÇÃO!$B$42:$B$44</c:f>
              <c:numCache>
                <c:formatCode>#,##0.0</c:formatCode>
                <c:ptCount val="3"/>
                <c:pt idx="0">
                  <c:v>0</c:v>
                </c:pt>
                <c:pt idx="1">
                  <c:v>0</c:v>
                </c:pt>
                <c:pt idx="2">
                  <c:v>0</c:v>
                </c:pt>
              </c:numCache>
            </c:numRef>
          </c:val>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333333"/>
                </a:solidFill>
                <a:latin typeface="Calibri"/>
                <a:ea typeface="Calibri"/>
                <a:cs typeface="Calibri"/>
              </a:defRPr>
            </a:pPr>
            <a:r>
              <a:rPr lang="pt-BR" sz="2000" b="1"/>
              <a:t>Evolução da</a:t>
            </a:r>
            <a:r>
              <a:rPr lang="pt-BR" sz="2000" b="1" baseline="0"/>
              <a:t> produção e preço do leite ao longo do ano</a:t>
            </a:r>
            <a:endParaRPr lang="pt-BR" sz="2000" b="1"/>
          </a:p>
        </c:rich>
      </c:tx>
      <c:layout>
        <c:manualLayout>
          <c:xMode val="edge"/>
          <c:yMode val="edge"/>
          <c:x val="0.19351366088428806"/>
          <c:y val="4.1576621417026789E-2"/>
        </c:manualLayout>
      </c:layout>
      <c:overlay val="0"/>
      <c:spPr>
        <a:noFill/>
        <a:ln w="25400">
          <a:noFill/>
        </a:ln>
      </c:spPr>
    </c:title>
    <c:autoTitleDeleted val="0"/>
    <c:plotArea>
      <c:layout>
        <c:manualLayout>
          <c:layoutTarget val="inner"/>
          <c:xMode val="edge"/>
          <c:yMode val="edge"/>
          <c:x val="5.545971777261087E-2"/>
          <c:y val="0.14976088107756136"/>
          <c:w val="0.88471628019464166"/>
          <c:h val="0.65731066327483423"/>
        </c:manualLayout>
      </c:layout>
      <c:lineChart>
        <c:grouping val="standard"/>
        <c:varyColors val="0"/>
        <c:ser>
          <c:idx val="0"/>
          <c:order val="0"/>
          <c:tx>
            <c:strRef>
              <c:f>PRODUÇÃO!$J$24</c:f>
              <c:strCache>
                <c:ptCount val="1"/>
                <c:pt idx="0">
                  <c:v>Produção de leite mensal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w="25400">
                <a:noFill/>
              </a:ln>
            </c:spPr>
            <c:txPr>
              <a:bodyPr wrap="square" lIns="38100" tIns="19050" rIns="38100" bIns="19050" anchor="ctr">
                <a:spAutoFit/>
              </a:bodyPr>
              <a:lstStyle/>
              <a:p>
                <a:pPr>
                  <a:defRPr sz="1100" b="0" i="0" u="none" strike="noStrike" baseline="0">
                    <a:solidFill>
                      <a:srgbClr val="333333"/>
                    </a:solidFill>
                    <a:latin typeface="Calibri"/>
                    <a:ea typeface="Calibri"/>
                    <a:cs typeface="Calibri"/>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PRODUÇÃO!$I$25:$I$36</c:f>
              <c:numCache>
                <c:formatCode>[$-416]mmm\-yy;@</c:formatCode>
                <c:ptCount val="12"/>
                <c:pt idx="0">
                  <c:v>44013</c:v>
                </c:pt>
                <c:pt idx="1">
                  <c:v>44044</c:v>
                </c:pt>
                <c:pt idx="2">
                  <c:v>44075</c:v>
                </c:pt>
                <c:pt idx="3">
                  <c:v>44106</c:v>
                </c:pt>
                <c:pt idx="4">
                  <c:v>44137</c:v>
                </c:pt>
                <c:pt idx="5">
                  <c:v>44168</c:v>
                </c:pt>
                <c:pt idx="6">
                  <c:v>44199</c:v>
                </c:pt>
                <c:pt idx="7">
                  <c:v>44230</c:v>
                </c:pt>
                <c:pt idx="8">
                  <c:v>44261</c:v>
                </c:pt>
                <c:pt idx="9">
                  <c:v>44292</c:v>
                </c:pt>
                <c:pt idx="10">
                  <c:v>44323</c:v>
                </c:pt>
                <c:pt idx="11">
                  <c:v>44354</c:v>
                </c:pt>
              </c:numCache>
            </c:numRef>
          </c:cat>
          <c:val>
            <c:numRef>
              <c:f>PRODUÇÃO!$J$25:$J$36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622962000"/>
        <c:axId val="622961608"/>
      </c:lineChart>
      <c:lineChart>
        <c:grouping val="standard"/>
        <c:varyColors val="0"/>
        <c:ser>
          <c:idx val="1"/>
          <c:order val="1"/>
          <c:tx>
            <c:strRef>
              <c:f>PRODUÇÃO!$K$24</c:f>
              <c:strCache>
                <c:ptCount val="1"/>
                <c:pt idx="0">
                  <c:v>Preço médio Mensal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w="25400">
                <a:noFill/>
              </a:ln>
            </c:spPr>
            <c:txPr>
              <a:bodyPr wrap="square" lIns="38100" tIns="19050" rIns="38100" bIns="19050" anchor="ctr">
                <a:spAutoFit/>
              </a:bodyPr>
              <a:lstStyle/>
              <a:p>
                <a:pPr>
                  <a:defRPr sz="1100" b="0" i="0" u="none" strike="noStrike" baseline="0">
                    <a:solidFill>
                      <a:srgbClr val="333333"/>
                    </a:solidFill>
                    <a:latin typeface="Calibri"/>
                    <a:ea typeface="Calibri"/>
                    <a:cs typeface="Calibri"/>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PRODUÇÃO!$I$25:$I$36</c:f>
              <c:numCache>
                <c:formatCode>[$-416]mmm\-yy;@</c:formatCode>
                <c:ptCount val="12"/>
                <c:pt idx="0">
                  <c:v>44013</c:v>
                </c:pt>
                <c:pt idx="1">
                  <c:v>44044</c:v>
                </c:pt>
                <c:pt idx="2">
                  <c:v>44075</c:v>
                </c:pt>
                <c:pt idx="3">
                  <c:v>44106</c:v>
                </c:pt>
                <c:pt idx="4">
                  <c:v>44137</c:v>
                </c:pt>
                <c:pt idx="5">
                  <c:v>44168</c:v>
                </c:pt>
                <c:pt idx="6">
                  <c:v>44199</c:v>
                </c:pt>
                <c:pt idx="7">
                  <c:v>44230</c:v>
                </c:pt>
                <c:pt idx="8">
                  <c:v>44261</c:v>
                </c:pt>
                <c:pt idx="9">
                  <c:v>44292</c:v>
                </c:pt>
                <c:pt idx="10">
                  <c:v>44323</c:v>
                </c:pt>
                <c:pt idx="11">
                  <c:v>44354</c:v>
                </c:pt>
              </c:numCache>
            </c:numRef>
          </c:cat>
          <c:val>
            <c:numRef>
              <c:f>PRODUÇÃO!$K$25:$K$36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622962392"/>
        <c:axId val="245568440"/>
      </c:lineChart>
      <c:dateAx>
        <c:axId val="622962000"/>
        <c:scaling>
          <c:orientation val="minMax"/>
        </c:scaling>
        <c:delete val="0"/>
        <c:axPos val="b"/>
        <c:numFmt formatCode="[$-416]mmm\-yy;@" sourceLinked="1"/>
        <c:majorTickMark val="none"/>
        <c:minorTickMark val="none"/>
        <c:tickLblPos val="nextTo"/>
        <c:spPr>
          <a:ln w="9525">
            <a:noFill/>
          </a:ln>
        </c:spPr>
        <c:txPr>
          <a:bodyPr rot="0" vert="horz"/>
          <a:lstStyle/>
          <a:p>
            <a:pPr>
              <a:defRPr sz="1200" b="0" i="0" u="none" strike="noStrike" baseline="0">
                <a:solidFill>
                  <a:srgbClr val="333333"/>
                </a:solidFill>
                <a:latin typeface="Calibri"/>
                <a:ea typeface="Calibri"/>
                <a:cs typeface="Calibri"/>
              </a:defRPr>
            </a:pPr>
            <a:endParaRPr lang="pt-BR"/>
          </a:p>
        </c:txPr>
        <c:crossAx val="622961608"/>
        <c:crosses val="autoZero"/>
        <c:auto val="1"/>
        <c:lblOffset val="100"/>
        <c:baseTimeUnit val="months"/>
        <c:minorUnit val="1"/>
      </c:dateAx>
      <c:valAx>
        <c:axId val="622961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1200" b="0" i="0" u="none" strike="noStrike" baseline="0">
                <a:solidFill>
                  <a:srgbClr val="333333"/>
                </a:solidFill>
                <a:latin typeface="Calibri"/>
                <a:ea typeface="Calibri"/>
                <a:cs typeface="Calibri"/>
              </a:defRPr>
            </a:pPr>
            <a:endParaRPr lang="pt-BR"/>
          </a:p>
        </c:txPr>
        <c:crossAx val="622962000"/>
        <c:crosses val="autoZero"/>
        <c:crossBetween val="between"/>
      </c:valAx>
      <c:dateAx>
        <c:axId val="622962392"/>
        <c:scaling>
          <c:orientation val="minMax"/>
        </c:scaling>
        <c:delete val="1"/>
        <c:axPos val="b"/>
        <c:numFmt formatCode="[$-416]mmm\-yy;@" sourceLinked="1"/>
        <c:majorTickMark val="out"/>
        <c:minorTickMark val="none"/>
        <c:tickLblPos val="nextTo"/>
        <c:crossAx val="245568440"/>
        <c:crosses val="autoZero"/>
        <c:auto val="1"/>
        <c:lblOffset val="100"/>
        <c:baseTimeUnit val="months"/>
      </c:dateAx>
      <c:valAx>
        <c:axId val="245568440"/>
        <c:scaling>
          <c:orientation val="minMax"/>
        </c:scaling>
        <c:delete val="0"/>
        <c:axPos val="r"/>
        <c:numFmt formatCode="#,##0.00" sourceLinked="1"/>
        <c:majorTickMark val="out"/>
        <c:minorTickMark val="none"/>
        <c:tickLblPos val="nextTo"/>
        <c:spPr>
          <a:ln w="9525">
            <a:noFill/>
          </a:ln>
        </c:spPr>
        <c:txPr>
          <a:bodyPr rot="0" vert="horz"/>
          <a:lstStyle/>
          <a:p>
            <a:pPr>
              <a:defRPr sz="1200" b="0" i="0" u="none" strike="noStrike" baseline="0">
                <a:solidFill>
                  <a:srgbClr val="333333"/>
                </a:solidFill>
                <a:latin typeface="Calibri"/>
                <a:ea typeface="Calibri"/>
                <a:cs typeface="Calibri"/>
              </a:defRPr>
            </a:pPr>
            <a:endParaRPr lang="pt-BR"/>
          </a:p>
        </c:txPr>
        <c:crossAx val="622962392"/>
        <c:crosses val="max"/>
        <c:crossBetween val="between"/>
      </c:valAx>
      <c:spPr>
        <a:noFill/>
        <a:ln w="25400">
          <a:noFill/>
        </a:ln>
      </c:spPr>
    </c:plotArea>
    <c:legend>
      <c:legendPos val="b"/>
      <c:layout>
        <c:manualLayout>
          <c:xMode val="edge"/>
          <c:yMode val="edge"/>
          <c:x val="0.19237766512062704"/>
          <c:y val="0.90892151994514192"/>
          <c:w val="0.61524466975874592"/>
          <c:h val="6.2650871343784775E-2"/>
        </c:manualLayout>
      </c:layout>
      <c:overlay val="0"/>
      <c:spPr>
        <a:noFill/>
        <a:ln w="25400">
          <a:noFill/>
        </a:ln>
      </c:spPr>
      <c:txPr>
        <a:bodyPr/>
        <a:lstStyle/>
        <a:p>
          <a:pPr>
            <a:defRPr sz="1400" b="1" i="0" u="none" strike="noStrike" baseline="0">
              <a:solidFill>
                <a:srgbClr val="333333"/>
              </a:solidFill>
              <a:latin typeface="Calibri"/>
              <a:ea typeface="Calibri"/>
              <a:cs typeface="Calibri"/>
            </a:defRPr>
          </a:pPr>
          <a:endParaRPr lang="pt-BR"/>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333333"/>
                </a:solidFill>
                <a:latin typeface="Calibri"/>
                <a:ea typeface="Calibri"/>
                <a:cs typeface="Calibri"/>
              </a:defRPr>
            </a:pPr>
            <a:r>
              <a:rPr lang="pt-BR" sz="2000" b="1"/>
              <a:t>Qualidade do Leite</a:t>
            </a:r>
          </a:p>
        </c:rich>
      </c:tx>
      <c:layout/>
      <c:overlay val="0"/>
      <c:spPr>
        <a:noFill/>
        <a:ln w="25400">
          <a:noFill/>
        </a:ln>
      </c:spPr>
    </c:title>
    <c:autoTitleDeleted val="0"/>
    <c:plotArea>
      <c:layout/>
      <c:barChart>
        <c:barDir val="col"/>
        <c:grouping val="clustered"/>
        <c:varyColors val="0"/>
        <c:ser>
          <c:idx val="2"/>
          <c:order val="2"/>
          <c:tx>
            <c:strRef>
              <c:f>PRODUÇÃO!$F$47</c:f>
              <c:strCache>
                <c:ptCount val="1"/>
                <c:pt idx="0">
                  <c:v>CCS</c:v>
                </c:pt>
              </c:strCache>
            </c:strRef>
          </c:tx>
          <c:spPr>
            <a:solidFill>
              <a:srgbClr val="9BBB59"/>
            </a:solidFill>
            <a:ln w="25400">
              <a:noFill/>
            </a:ln>
          </c:spPr>
          <c:invertIfNegative val="0"/>
          <c:val>
            <c:numRef>
              <c:f>PRODUÇÃO!$F$49:$F$60</c:f>
              <c:numCache>
                <c:formatCode>#,##0</c:formatCode>
                <c:ptCount val="12"/>
                <c:pt idx="0">
                  <c:v>480000</c:v>
                </c:pt>
                <c:pt idx="1">
                  <c:v>501000</c:v>
                </c:pt>
                <c:pt idx="2">
                  <c:v>450000</c:v>
                </c:pt>
                <c:pt idx="3">
                  <c:v>440000</c:v>
                </c:pt>
                <c:pt idx="4">
                  <c:v>430000</c:v>
                </c:pt>
                <c:pt idx="5">
                  <c:v>505000</c:v>
                </c:pt>
                <c:pt idx="6">
                  <c:v>410000</c:v>
                </c:pt>
                <c:pt idx="7">
                  <c:v>400000</c:v>
                </c:pt>
                <c:pt idx="8">
                  <c:v>390000</c:v>
                </c:pt>
                <c:pt idx="9">
                  <c:v>380000</c:v>
                </c:pt>
                <c:pt idx="10">
                  <c:v>370000</c:v>
                </c:pt>
                <c:pt idx="11">
                  <c:v>390000</c:v>
                </c:pt>
              </c:numCache>
            </c:numRef>
          </c:val>
        </c:ser>
        <c:ser>
          <c:idx val="3"/>
          <c:order val="3"/>
          <c:tx>
            <c:strRef>
              <c:f>PRODUÇÃO!$G$47</c:f>
              <c:strCache>
                <c:ptCount val="1"/>
                <c:pt idx="0">
                  <c:v>CBT</c:v>
                </c:pt>
              </c:strCache>
            </c:strRef>
          </c:tx>
          <c:spPr>
            <a:solidFill>
              <a:srgbClr val="8064A2"/>
            </a:solidFill>
            <a:ln w="25400">
              <a:noFill/>
            </a:ln>
          </c:spPr>
          <c:invertIfNegative val="0"/>
          <c:val>
            <c:numRef>
              <c:f>PRODUÇÃO!$G$49:$G$60</c:f>
              <c:numCache>
                <c:formatCode>#,##0</c:formatCode>
                <c:ptCount val="12"/>
                <c:pt idx="0">
                  <c:v>301000</c:v>
                </c:pt>
                <c:pt idx="1">
                  <c:v>250000</c:v>
                </c:pt>
                <c:pt idx="2">
                  <c:v>240000</c:v>
                </c:pt>
                <c:pt idx="3">
                  <c:v>230000</c:v>
                </c:pt>
                <c:pt idx="4">
                  <c:v>250000</c:v>
                </c:pt>
                <c:pt idx="5">
                  <c:v>255000</c:v>
                </c:pt>
                <c:pt idx="6">
                  <c:v>275000</c:v>
                </c:pt>
                <c:pt idx="7">
                  <c:v>295000</c:v>
                </c:pt>
                <c:pt idx="8">
                  <c:v>305000</c:v>
                </c:pt>
                <c:pt idx="9">
                  <c:v>280000</c:v>
                </c:pt>
                <c:pt idx="10">
                  <c:v>290000</c:v>
                </c:pt>
                <c:pt idx="11">
                  <c:v>295000</c:v>
                </c:pt>
              </c:numCache>
            </c:numRef>
          </c:val>
        </c:ser>
        <c:dLbls>
          <c:showLegendKey val="0"/>
          <c:showVal val="0"/>
          <c:showCatName val="0"/>
          <c:showSerName val="0"/>
          <c:showPercent val="0"/>
          <c:showBubbleSize val="0"/>
        </c:dLbls>
        <c:gapWidth val="219"/>
        <c:axId val="620482736"/>
        <c:axId val="624001336"/>
      </c:barChart>
      <c:lineChart>
        <c:grouping val="standard"/>
        <c:varyColors val="0"/>
        <c:ser>
          <c:idx val="0"/>
          <c:order val="0"/>
          <c:tx>
            <c:strRef>
              <c:f>PRODUÇÃO!$C$47</c:f>
              <c:strCache>
                <c:ptCount val="1"/>
                <c:pt idx="0">
                  <c:v>PROTEINA</c:v>
                </c:pt>
              </c:strCache>
            </c:strRef>
          </c:tx>
          <c:spPr>
            <a:ln w="28575" cap="rnd">
              <a:solidFill>
                <a:schemeClr val="accent1"/>
              </a:solidFill>
              <a:round/>
            </a:ln>
            <a:effectLst/>
          </c:spPr>
          <c:marker>
            <c:symbol val="none"/>
          </c:marker>
          <c:cat>
            <c:numRef>
              <c:f>PRODUÇÃO!$B$49:$B$60</c:f>
              <c:numCache>
                <c:formatCode>[$-416]mmm\-yy;@</c:formatCode>
                <c:ptCount val="12"/>
                <c:pt idx="0">
                  <c:v>44013</c:v>
                </c:pt>
                <c:pt idx="1">
                  <c:v>44044</c:v>
                </c:pt>
                <c:pt idx="2">
                  <c:v>44075</c:v>
                </c:pt>
                <c:pt idx="3">
                  <c:v>44106</c:v>
                </c:pt>
                <c:pt idx="4">
                  <c:v>44137</c:v>
                </c:pt>
                <c:pt idx="5">
                  <c:v>44168</c:v>
                </c:pt>
                <c:pt idx="6">
                  <c:v>44199</c:v>
                </c:pt>
                <c:pt idx="7">
                  <c:v>44230</c:v>
                </c:pt>
                <c:pt idx="8">
                  <c:v>44261</c:v>
                </c:pt>
                <c:pt idx="9">
                  <c:v>44292</c:v>
                </c:pt>
                <c:pt idx="10">
                  <c:v>44323</c:v>
                </c:pt>
                <c:pt idx="11">
                  <c:v>44354</c:v>
                </c:pt>
              </c:numCache>
            </c:numRef>
          </c:cat>
          <c:val>
            <c:numRef>
              <c:f>PRODUÇÃO!$C$49:$C$60</c:f>
              <c:numCache>
                <c:formatCode>0.0</c:formatCode>
                <c:ptCount val="12"/>
                <c:pt idx="0">
                  <c:v>3</c:v>
                </c:pt>
                <c:pt idx="1">
                  <c:v>3.1</c:v>
                </c:pt>
                <c:pt idx="2">
                  <c:v>3</c:v>
                </c:pt>
                <c:pt idx="3">
                  <c:v>2.8</c:v>
                </c:pt>
                <c:pt idx="4">
                  <c:v>3.2</c:v>
                </c:pt>
                <c:pt idx="5">
                  <c:v>3.3</c:v>
                </c:pt>
                <c:pt idx="6">
                  <c:v>3</c:v>
                </c:pt>
                <c:pt idx="7">
                  <c:v>3.1</c:v>
                </c:pt>
                <c:pt idx="8">
                  <c:v>3.2</c:v>
                </c:pt>
                <c:pt idx="9">
                  <c:v>2.9</c:v>
                </c:pt>
                <c:pt idx="10">
                  <c:v>3.1</c:v>
                </c:pt>
                <c:pt idx="11">
                  <c:v>3.2</c:v>
                </c:pt>
              </c:numCache>
            </c:numRef>
          </c:val>
          <c:smooth val="0"/>
        </c:ser>
        <c:ser>
          <c:idx val="1"/>
          <c:order val="1"/>
          <c:tx>
            <c:strRef>
              <c:f>PRODUÇÃO!$D$47</c:f>
              <c:strCache>
                <c:ptCount val="1"/>
                <c:pt idx="0">
                  <c:v>GORDURA</c:v>
                </c:pt>
              </c:strCache>
            </c:strRef>
          </c:tx>
          <c:spPr>
            <a:ln w="28575" cap="rnd">
              <a:solidFill>
                <a:schemeClr val="accent2"/>
              </a:solidFill>
              <a:round/>
            </a:ln>
            <a:effectLst/>
          </c:spPr>
          <c:marker>
            <c:symbol val="none"/>
          </c:marker>
          <c:cat>
            <c:numRef>
              <c:f>PRODUÇÃO!$B$49:$B$60</c:f>
              <c:numCache>
                <c:formatCode>[$-416]mmm\-yy;@</c:formatCode>
                <c:ptCount val="12"/>
                <c:pt idx="0">
                  <c:v>44013</c:v>
                </c:pt>
                <c:pt idx="1">
                  <c:v>44044</c:v>
                </c:pt>
                <c:pt idx="2">
                  <c:v>44075</c:v>
                </c:pt>
                <c:pt idx="3">
                  <c:v>44106</c:v>
                </c:pt>
                <c:pt idx="4">
                  <c:v>44137</c:v>
                </c:pt>
                <c:pt idx="5">
                  <c:v>44168</c:v>
                </c:pt>
                <c:pt idx="6">
                  <c:v>44199</c:v>
                </c:pt>
                <c:pt idx="7">
                  <c:v>44230</c:v>
                </c:pt>
                <c:pt idx="8">
                  <c:v>44261</c:v>
                </c:pt>
                <c:pt idx="9">
                  <c:v>44292</c:v>
                </c:pt>
                <c:pt idx="10">
                  <c:v>44323</c:v>
                </c:pt>
                <c:pt idx="11">
                  <c:v>44354</c:v>
                </c:pt>
              </c:numCache>
            </c:numRef>
          </c:cat>
          <c:val>
            <c:numRef>
              <c:f>PRODUÇÃO!$D$49:$D$60</c:f>
              <c:numCache>
                <c:formatCode>0.0</c:formatCode>
                <c:ptCount val="12"/>
                <c:pt idx="0">
                  <c:v>3.5</c:v>
                </c:pt>
                <c:pt idx="1">
                  <c:v>3.4</c:v>
                </c:pt>
                <c:pt idx="2">
                  <c:v>3.6</c:v>
                </c:pt>
                <c:pt idx="3">
                  <c:v>3.4</c:v>
                </c:pt>
                <c:pt idx="4">
                  <c:v>3.5</c:v>
                </c:pt>
                <c:pt idx="5">
                  <c:v>3.1</c:v>
                </c:pt>
                <c:pt idx="6">
                  <c:v>2.9</c:v>
                </c:pt>
                <c:pt idx="7">
                  <c:v>3.1</c:v>
                </c:pt>
                <c:pt idx="8">
                  <c:v>3.2</c:v>
                </c:pt>
                <c:pt idx="9">
                  <c:v>3.5</c:v>
                </c:pt>
                <c:pt idx="10">
                  <c:v>3.6</c:v>
                </c:pt>
                <c:pt idx="11">
                  <c:v>3.5</c:v>
                </c:pt>
              </c:numCache>
            </c:numRef>
          </c:val>
          <c:smooth val="0"/>
        </c:ser>
        <c:dLbls>
          <c:showLegendKey val="0"/>
          <c:showVal val="0"/>
          <c:showCatName val="0"/>
          <c:showSerName val="0"/>
          <c:showPercent val="0"/>
          <c:showBubbleSize val="0"/>
        </c:dLbls>
        <c:marker val="1"/>
        <c:smooth val="0"/>
        <c:axId val="245567264"/>
        <c:axId val="620481952"/>
      </c:lineChart>
      <c:dateAx>
        <c:axId val="245567264"/>
        <c:scaling>
          <c:orientation val="minMax"/>
        </c:scaling>
        <c:delete val="0"/>
        <c:axPos val="b"/>
        <c:numFmt formatCode="[$-416]mmm\-yy;@"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200" b="0" i="0" u="none" strike="noStrike" baseline="0">
                <a:solidFill>
                  <a:srgbClr val="333333"/>
                </a:solidFill>
                <a:latin typeface="Calibri"/>
                <a:ea typeface="Calibri"/>
                <a:cs typeface="Calibri"/>
              </a:defRPr>
            </a:pPr>
            <a:endParaRPr lang="pt-BR"/>
          </a:p>
        </c:txPr>
        <c:crossAx val="620481952"/>
        <c:crosses val="autoZero"/>
        <c:auto val="1"/>
        <c:lblOffset val="100"/>
        <c:baseTimeUnit val="months"/>
      </c:dateAx>
      <c:valAx>
        <c:axId val="6204819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9525">
            <a:noFill/>
          </a:ln>
        </c:spPr>
        <c:txPr>
          <a:bodyPr rot="0" vert="horz"/>
          <a:lstStyle/>
          <a:p>
            <a:pPr>
              <a:defRPr sz="1200" b="0" i="0" u="none" strike="noStrike" baseline="0">
                <a:solidFill>
                  <a:srgbClr val="333333"/>
                </a:solidFill>
                <a:latin typeface="Calibri"/>
                <a:ea typeface="Calibri"/>
                <a:cs typeface="Calibri"/>
              </a:defRPr>
            </a:pPr>
            <a:endParaRPr lang="pt-BR"/>
          </a:p>
        </c:txPr>
        <c:crossAx val="245567264"/>
        <c:crosses val="autoZero"/>
        <c:crossBetween val="between"/>
      </c:valAx>
      <c:catAx>
        <c:axId val="620482736"/>
        <c:scaling>
          <c:orientation val="minMax"/>
        </c:scaling>
        <c:delete val="1"/>
        <c:axPos val="b"/>
        <c:majorTickMark val="out"/>
        <c:minorTickMark val="none"/>
        <c:tickLblPos val="nextTo"/>
        <c:crossAx val="624001336"/>
        <c:crosses val="autoZero"/>
        <c:auto val="1"/>
        <c:lblAlgn val="ctr"/>
        <c:lblOffset val="100"/>
        <c:noMultiLvlLbl val="0"/>
      </c:catAx>
      <c:valAx>
        <c:axId val="624001336"/>
        <c:scaling>
          <c:orientation val="minMax"/>
        </c:scaling>
        <c:delete val="0"/>
        <c:axPos val="r"/>
        <c:numFmt formatCode="#,##0" sourceLinked="1"/>
        <c:majorTickMark val="out"/>
        <c:minorTickMark val="none"/>
        <c:tickLblPos val="nextTo"/>
        <c:spPr>
          <a:ln w="9525">
            <a:noFill/>
          </a:ln>
        </c:spPr>
        <c:txPr>
          <a:bodyPr rot="0" vert="horz"/>
          <a:lstStyle/>
          <a:p>
            <a:pPr>
              <a:defRPr sz="1200" b="0" i="0" u="none" strike="noStrike" baseline="0">
                <a:solidFill>
                  <a:srgbClr val="333333"/>
                </a:solidFill>
                <a:latin typeface="Calibri"/>
                <a:ea typeface="Calibri"/>
                <a:cs typeface="Calibri"/>
              </a:defRPr>
            </a:pPr>
            <a:endParaRPr lang="pt-BR"/>
          </a:p>
        </c:txPr>
        <c:crossAx val="620482736"/>
        <c:crosses val="max"/>
        <c:crossBetween val="between"/>
      </c:valAx>
      <c:spPr>
        <a:noFill/>
        <a:ln w="25400">
          <a:noFill/>
        </a:ln>
      </c:spPr>
    </c:plotArea>
    <c:legend>
      <c:legendPos val="t"/>
      <c:layout/>
      <c:overlay val="0"/>
      <c:spPr>
        <a:noFill/>
        <a:ln w="25400">
          <a:noFill/>
        </a:ln>
      </c:spPr>
      <c:txPr>
        <a:bodyPr/>
        <a:lstStyle/>
        <a:p>
          <a:pPr>
            <a:defRPr sz="1400" b="0" i="0" u="none" strike="noStrike" baseline="0">
              <a:solidFill>
                <a:srgbClr val="333333"/>
              </a:solidFill>
              <a:latin typeface="Calibri"/>
              <a:ea typeface="Calibri"/>
              <a:cs typeface="Calibri"/>
            </a:defRPr>
          </a:pPr>
          <a:endParaRPr lang="pt-BR"/>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Calibri" pitchFamily="34" charset="0"/>
                <a:ea typeface="+mn-ea"/>
                <a:cs typeface="+mn-cs"/>
              </a:defRPr>
            </a:pPr>
            <a:r>
              <a:rPr lang="pt-BR" sz="1600" b="1">
                <a:solidFill>
                  <a:sysClr val="windowText" lastClr="000000"/>
                </a:solidFill>
                <a:latin typeface="Calibri" pitchFamily="34" charset="0"/>
              </a:rPr>
              <a:t>Fontes</a:t>
            </a:r>
            <a:r>
              <a:rPr lang="pt-BR" sz="1600" b="1" baseline="0">
                <a:solidFill>
                  <a:sysClr val="windowText" lastClr="000000"/>
                </a:solidFill>
                <a:latin typeface="Calibri" pitchFamily="34" charset="0"/>
              </a:rPr>
              <a:t> de receita da atividade leiteira</a:t>
            </a:r>
            <a:endParaRPr lang="pt-BR" sz="1600" b="1">
              <a:solidFill>
                <a:sysClr val="windowText" lastClr="000000"/>
              </a:solidFill>
              <a:latin typeface="Calibri" pitchFamily="34" charset="0"/>
            </a:endParaRPr>
          </a:p>
        </c:rich>
      </c:tx>
      <c:layout/>
      <c:overlay val="0"/>
      <c:spPr>
        <a:noFill/>
        <a:ln w="25400">
          <a:noFill/>
        </a:ln>
      </c:sp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Lbls>
            <c:spPr>
              <a:noFill/>
              <a:ln w="25400">
                <a:noFill/>
              </a:ln>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PRODUÇÃO!$M$67:$M$68</c:f>
              <c:strCache>
                <c:ptCount val="2"/>
                <c:pt idx="0">
                  <c:v>Receita com leite</c:v>
                </c:pt>
                <c:pt idx="1">
                  <c:v>Receita com animais</c:v>
                </c:pt>
              </c:strCache>
            </c:strRef>
          </c:cat>
          <c:val>
            <c:numRef>
              <c:f>PRODUÇÃO!$N$67:$N$68</c:f>
              <c:numCache>
                <c:formatCode>_(* #,##0.00_);_(* \(#,##0.00\);_(* "-"??_);_(@_)</c:formatCode>
                <c:ptCount val="2"/>
                <c:pt idx="0">
                  <c:v>0</c:v>
                </c:pt>
                <c:pt idx="1">
                  <c:v>15200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b"/>
      <c:layout>
        <c:manualLayout>
          <c:xMode val="edge"/>
          <c:yMode val="edge"/>
          <c:x val="0.13702584640680746"/>
          <c:y val="0.88084633075829244"/>
          <c:w val="0.74970473902343504"/>
          <c:h val="6.8812073103925397E-2"/>
        </c:manualLayout>
      </c:layout>
      <c:overlay val="0"/>
      <c:spPr>
        <a:noFill/>
        <a:ln w="25400">
          <a:noFill/>
        </a:ln>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pt-BR"/>
              <a:t>Produção de leite</a:t>
            </a:r>
          </a:p>
        </c:rich>
      </c:tx>
      <c:layout/>
      <c:overlay val="0"/>
      <c:spPr>
        <a:noFill/>
        <a:ln w="25400">
          <a:noFill/>
        </a:ln>
      </c:spPr>
    </c:title>
    <c:autoTitleDeleted val="0"/>
    <c:plotArea>
      <c:layout>
        <c:manualLayout>
          <c:layoutTarget val="inner"/>
          <c:xMode val="edge"/>
          <c:yMode val="edge"/>
          <c:x val="0.12872707919351589"/>
          <c:y val="0.20520055325034578"/>
          <c:w val="0.82163952225455716"/>
          <c:h val="0.60480369414404112"/>
        </c:manualLayout>
      </c:layout>
      <c:barChart>
        <c:barDir val="col"/>
        <c:grouping val="clustered"/>
        <c:varyColors val="0"/>
        <c:ser>
          <c:idx val="0"/>
          <c:order val="0"/>
          <c:tx>
            <c:strRef>
              <c:f>RESUMO!$E$19</c:f>
              <c:strCache>
                <c:ptCount val="1"/>
                <c:pt idx="0">
                  <c:v>Atual</c:v>
                </c:pt>
              </c:strCache>
            </c:strRef>
          </c:tx>
          <c:spPr>
            <a:solidFill>
              <a:srgbClr val="4F81BD"/>
            </a:solidFill>
            <a:ln w="25400">
              <a:noFill/>
            </a:ln>
          </c:spPr>
          <c:invertIfNegative val="0"/>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RESUMO!$C$23:$D$24</c:f>
              <c:strCache>
                <c:ptCount val="2"/>
                <c:pt idx="0">
                  <c:v>Litros de leite entregues por dia</c:v>
                </c:pt>
                <c:pt idx="1">
                  <c:v>Litros de leite por vaca por dia</c:v>
                </c:pt>
              </c:strCache>
            </c:strRef>
          </c:cat>
          <c:val>
            <c:numRef>
              <c:f>RESUMO!$E$23:$E$24</c:f>
              <c:numCache>
                <c:formatCode>#,##0.0</c:formatCode>
                <c:ptCount val="2"/>
                <c:pt idx="0" formatCode="#,##0">
                  <c:v>0</c:v>
                </c:pt>
                <c:pt idx="1">
                  <c:v>0</c:v>
                </c:pt>
              </c:numCache>
            </c:numRef>
          </c:val>
        </c:ser>
        <c:ser>
          <c:idx val="1"/>
          <c:order val="1"/>
          <c:tx>
            <c:strRef>
              <c:f>RESUMO!$F$19</c:f>
              <c:strCache>
                <c:ptCount val="1"/>
                <c:pt idx="0">
                  <c:v>Meta da família</c:v>
                </c:pt>
              </c:strCache>
            </c:strRef>
          </c:tx>
          <c:spPr>
            <a:solidFill>
              <a:srgbClr val="C0504D"/>
            </a:solidFill>
            <a:ln w="25400">
              <a:noFill/>
            </a:ln>
          </c:spPr>
          <c:invertIfNegative val="0"/>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RESUMO!$C$23:$D$24</c:f>
              <c:strCache>
                <c:ptCount val="2"/>
                <c:pt idx="0">
                  <c:v>Litros de leite entregues por dia</c:v>
                </c:pt>
                <c:pt idx="1">
                  <c:v>Litros de leite por vaca por dia</c:v>
                </c:pt>
              </c:strCache>
            </c:strRef>
          </c:cat>
          <c:val>
            <c:numRef>
              <c:f>RESUMO!$F$23:$F$24</c:f>
              <c:numCache>
                <c:formatCode>#,##0</c:formatCode>
                <c:ptCount val="2"/>
                <c:pt idx="0">
                  <c:v>0</c:v>
                </c:pt>
                <c:pt idx="1">
                  <c:v>0</c:v>
                </c:pt>
              </c:numCache>
            </c:numRef>
          </c:val>
        </c:ser>
        <c:dLbls>
          <c:showLegendKey val="0"/>
          <c:showVal val="0"/>
          <c:showCatName val="0"/>
          <c:showSerName val="0"/>
          <c:showPercent val="0"/>
          <c:showBubbleSize val="0"/>
        </c:dLbls>
        <c:gapWidth val="150"/>
        <c:axId val="719176424"/>
        <c:axId val="719176816"/>
      </c:barChart>
      <c:catAx>
        <c:axId val="719176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pt-BR"/>
          </a:p>
        </c:txPr>
        <c:crossAx val="719176816"/>
        <c:crosses val="autoZero"/>
        <c:auto val="1"/>
        <c:lblAlgn val="ctr"/>
        <c:lblOffset val="100"/>
        <c:noMultiLvlLbl val="0"/>
      </c:catAx>
      <c:valAx>
        <c:axId val="719176816"/>
        <c:scaling>
          <c:orientation val="minMax"/>
        </c:scaling>
        <c:delete val="0"/>
        <c:axPos val="l"/>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pt-BR"/>
          </a:p>
        </c:txPr>
        <c:crossAx val="719176424"/>
        <c:crosses val="autoZero"/>
        <c:crossBetween val="between"/>
      </c:valAx>
      <c:spPr>
        <a:noFill/>
        <a:ln w="25400">
          <a:noFill/>
        </a:ln>
      </c:spPr>
    </c:plotArea>
    <c:legend>
      <c:legendPos val="b"/>
      <c:layout>
        <c:manualLayout>
          <c:xMode val="edge"/>
          <c:yMode val="edge"/>
          <c:x val="0.54485498485239836"/>
          <c:y val="0.36946406595441128"/>
          <c:w val="0.35247813483585982"/>
          <c:h val="0.24326069199856243"/>
        </c:manualLayout>
      </c:layout>
      <c:overlay val="0"/>
      <c:spPr>
        <a:noFill/>
        <a:ln w="25400">
          <a:noFill/>
        </a:ln>
      </c:spPr>
      <c:txPr>
        <a:bodyPr/>
        <a:lstStyle/>
        <a:p>
          <a:pPr>
            <a:defRPr sz="825" b="0" i="0" u="none" strike="noStrike" baseline="0">
              <a:solidFill>
                <a:srgbClr val="333333"/>
              </a:solidFill>
              <a:latin typeface="Calibri"/>
              <a:ea typeface="Calibri"/>
              <a:cs typeface="Calibri"/>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pt-BR"/>
              <a:t>Preço e custo (R$ por litro)</a:t>
            </a:r>
          </a:p>
        </c:rich>
      </c:tx>
      <c:layout/>
      <c:overlay val="0"/>
      <c:spPr>
        <a:noFill/>
        <a:ln w="25400">
          <a:noFill/>
        </a:ln>
      </c:spPr>
    </c:title>
    <c:autoTitleDeleted val="0"/>
    <c:plotArea>
      <c:layout/>
      <c:barChart>
        <c:barDir val="bar"/>
        <c:grouping val="clustered"/>
        <c:varyColors val="1"/>
        <c:ser>
          <c:idx val="0"/>
          <c:order val="0"/>
          <c:invertIfNegative val="0"/>
          <c:dPt>
            <c:idx val="0"/>
            <c:invertIfNegative val="1"/>
            <c:bubble3D val="0"/>
            <c:spPr>
              <a:solidFill>
                <a:srgbClr val="FFC000"/>
              </a:solidFill>
              <a:ln w="25400">
                <a:noFill/>
              </a:ln>
            </c:spPr>
          </c:dPt>
          <c:dPt>
            <c:idx val="1"/>
            <c:invertIfNegative val="0"/>
            <c:bubble3D val="0"/>
            <c:spPr>
              <a:solidFill>
                <a:srgbClr val="00B050"/>
              </a:solidFill>
              <a:ln w="25400">
                <a:noFill/>
              </a:ln>
            </c:spPr>
          </c:dPt>
          <c:dPt>
            <c:idx val="2"/>
            <c:invertIfNegative val="0"/>
            <c:bubble3D val="0"/>
          </c:dPt>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RESUMO!$D$29:$D$31</c:f>
              <c:strCache>
                <c:ptCount val="3"/>
                <c:pt idx="0">
                  <c:v>Custo por litro (R$)</c:v>
                </c:pt>
                <c:pt idx="2">
                  <c:v>Preço por litro (R$)</c:v>
                </c:pt>
              </c:strCache>
            </c:strRef>
          </c:cat>
          <c:val>
            <c:numRef>
              <c:f>RESUMO!$F$29:$F$31</c:f>
              <c:numCache>
                <c:formatCode>0.00</c:formatCode>
                <c:ptCount val="3"/>
                <c:pt idx="0">
                  <c:v>0</c:v>
                </c:pt>
                <c:pt idx="2" formatCode="#,##0.00">
                  <c:v>0</c:v>
                </c:pt>
              </c:numCache>
            </c:numRef>
          </c:val>
        </c:ser>
        <c:dLbls>
          <c:showLegendKey val="0"/>
          <c:showVal val="0"/>
          <c:showCatName val="0"/>
          <c:showSerName val="0"/>
          <c:showPercent val="0"/>
          <c:showBubbleSize val="0"/>
        </c:dLbls>
        <c:gapWidth val="150"/>
        <c:overlap val="-25"/>
        <c:axId val="818670024"/>
        <c:axId val="818670416"/>
      </c:barChart>
      <c:catAx>
        <c:axId val="8186700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pt-BR"/>
          </a:p>
        </c:txPr>
        <c:crossAx val="818670416"/>
        <c:crosses val="autoZero"/>
        <c:auto val="1"/>
        <c:lblAlgn val="ctr"/>
        <c:lblOffset val="100"/>
        <c:noMultiLvlLbl val="0"/>
      </c:catAx>
      <c:valAx>
        <c:axId val="818670416"/>
        <c:scaling>
          <c:orientation val="minMax"/>
        </c:scaling>
        <c:delete val="1"/>
        <c:axPos val="b"/>
        <c:numFmt formatCode="0.00" sourceLinked="1"/>
        <c:majorTickMark val="out"/>
        <c:minorTickMark val="none"/>
        <c:tickLblPos val="nextTo"/>
        <c:crossAx val="81867002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a:t>Margem Bruta por hectare (R$/ha)</a:t>
            </a:r>
          </a:p>
        </c:rich>
      </c:tx>
      <c:layout/>
      <c:overlay val="0"/>
      <c:spPr>
        <a:noFill/>
        <a:ln w="25400">
          <a:noFill/>
        </a:ln>
      </c:spPr>
    </c:title>
    <c:autoTitleDeleted val="0"/>
    <c:plotArea>
      <c:layout>
        <c:manualLayout>
          <c:layoutTarget val="inner"/>
          <c:xMode val="edge"/>
          <c:yMode val="edge"/>
          <c:x val="0.39670829362890159"/>
          <c:y val="0.31428571428571428"/>
          <c:w val="0.55731481017102158"/>
          <c:h val="0.58594104308390027"/>
        </c:manualLayout>
      </c:layout>
      <c:barChart>
        <c:barDir val="bar"/>
        <c:grouping val="clustered"/>
        <c:varyColors val="1"/>
        <c:ser>
          <c:idx val="0"/>
          <c:order val="0"/>
          <c:invertIfNegative val="0"/>
          <c:dPt>
            <c:idx val="0"/>
            <c:invertIfNegative val="0"/>
            <c:bubble3D val="0"/>
            <c:spPr>
              <a:solidFill>
                <a:srgbClr val="4F81BD"/>
              </a:solidFill>
              <a:ln w="25400">
                <a:noFill/>
              </a:ln>
            </c:spPr>
          </c:dPt>
          <c:dPt>
            <c:idx val="1"/>
            <c:invertIfNegative val="0"/>
            <c:bubble3D val="0"/>
            <c:spPr>
              <a:solidFill>
                <a:srgbClr val="C0504D"/>
              </a:solidFill>
              <a:ln w="25400">
                <a:noFill/>
              </a:ln>
            </c:spPr>
          </c:dPt>
          <c:dPt>
            <c:idx val="2"/>
            <c:invertIfNegative val="0"/>
            <c:bubble3D val="0"/>
            <c:spPr>
              <a:solidFill>
                <a:srgbClr val="9BBB59"/>
              </a:solidFill>
              <a:ln w="25400">
                <a:noFill/>
              </a:ln>
            </c:spPr>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RESUMO!$H$43:$H$45</c:f>
              <c:strCache>
                <c:ptCount val="3"/>
                <c:pt idx="0">
                  <c:v>Leite (R$/ha/ano)</c:v>
                </c:pt>
                <c:pt idx="1">
                  <c:v>Grãos (R$/ha/ano)</c:v>
                </c:pt>
                <c:pt idx="2">
                  <c:v>Total (R$/ha/ano)</c:v>
                </c:pt>
              </c:strCache>
            </c:strRef>
          </c:cat>
          <c:val>
            <c:numRef>
              <c:f>RESUMO!$J$43:$J$45</c:f>
              <c:numCache>
                <c:formatCode>#,##0</c:formatCode>
                <c:ptCount val="3"/>
                <c:pt idx="0">
                  <c:v>0</c:v>
                </c:pt>
                <c:pt idx="1">
                  <c:v>0</c:v>
                </c:pt>
                <c:pt idx="2">
                  <c:v>0</c:v>
                </c:pt>
              </c:numCache>
            </c:numRef>
          </c:val>
        </c:ser>
        <c:dLbls>
          <c:showLegendKey val="0"/>
          <c:showVal val="0"/>
          <c:showCatName val="0"/>
          <c:showSerName val="0"/>
          <c:showPercent val="0"/>
          <c:showBubbleSize val="0"/>
        </c:dLbls>
        <c:gapWidth val="150"/>
        <c:overlap val="-25"/>
        <c:axId val="818671200"/>
        <c:axId val="818416864"/>
      </c:barChart>
      <c:catAx>
        <c:axId val="818671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pt-BR"/>
          </a:p>
        </c:txPr>
        <c:crossAx val="818416864"/>
        <c:crosses val="autoZero"/>
        <c:auto val="1"/>
        <c:lblAlgn val="ctr"/>
        <c:lblOffset val="100"/>
        <c:noMultiLvlLbl val="0"/>
      </c:catAx>
      <c:valAx>
        <c:axId val="818416864"/>
        <c:scaling>
          <c:orientation val="minMax"/>
        </c:scaling>
        <c:delete val="1"/>
        <c:axPos val="b"/>
        <c:numFmt formatCode="#,##0" sourceLinked="1"/>
        <c:majorTickMark val="out"/>
        <c:minorTickMark val="none"/>
        <c:tickLblPos val="nextTo"/>
        <c:crossAx val="81867120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ysClr val="windowText" lastClr="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pt-BR"/>
              <a:t>Rebanho Leiteiro</a:t>
            </a:r>
          </a:p>
        </c:rich>
      </c:tx>
      <c:layout/>
      <c:overlay val="0"/>
      <c:spPr>
        <a:noFill/>
        <a:ln w="25400">
          <a:noFill/>
        </a:ln>
      </c:spPr>
    </c:title>
    <c:autoTitleDeleted val="0"/>
    <c:plotArea>
      <c:layout/>
      <c:barChart>
        <c:barDir val="col"/>
        <c:grouping val="clustered"/>
        <c:varyColors val="0"/>
        <c:ser>
          <c:idx val="0"/>
          <c:order val="0"/>
          <c:tx>
            <c:strRef>
              <c:f>RESUMO!$I$9</c:f>
              <c:strCache>
                <c:ptCount val="1"/>
                <c:pt idx="0">
                  <c:v>jul/20</c:v>
                </c:pt>
              </c:strCache>
            </c:strRef>
          </c:tx>
          <c:spPr>
            <a:solidFill>
              <a:srgbClr val="4F81BD"/>
            </a:solidFill>
            <a:ln w="25400">
              <a:noFill/>
            </a:ln>
          </c:spPr>
          <c:invertIfNegative val="0"/>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RESUMO!$H$10:$H$18</c:f>
              <c:strCache>
                <c:ptCount val="9"/>
                <c:pt idx="0">
                  <c:v>Vacas lactação</c:v>
                </c:pt>
                <c:pt idx="1">
                  <c:v>Vacas secas</c:v>
                </c:pt>
                <c:pt idx="2">
                  <c:v>Fêmeas +24 meses</c:v>
                </c:pt>
                <c:pt idx="3">
                  <c:v>Fêmeas 13-24 meses</c:v>
                </c:pt>
                <c:pt idx="4">
                  <c:v>Fêmeas 0-12 meses</c:v>
                </c:pt>
                <c:pt idx="5">
                  <c:v>Machos +24 meses</c:v>
                </c:pt>
                <c:pt idx="6">
                  <c:v>Machos 13-24 meses</c:v>
                </c:pt>
                <c:pt idx="7">
                  <c:v>Machos 0-12 meses</c:v>
                </c:pt>
                <c:pt idx="8">
                  <c:v>Touros</c:v>
                </c:pt>
              </c:strCache>
            </c:strRef>
          </c:cat>
          <c:val>
            <c:numRef>
              <c:f>RESUMO!$I$10:$I$18</c:f>
              <c:numCache>
                <c:formatCode>#,##0</c:formatCode>
                <c:ptCount val="9"/>
                <c:pt idx="0">
                  <c:v>0</c:v>
                </c:pt>
                <c:pt idx="1">
                  <c:v>0</c:v>
                </c:pt>
                <c:pt idx="2">
                  <c:v>0</c:v>
                </c:pt>
                <c:pt idx="3">
                  <c:v>0</c:v>
                </c:pt>
                <c:pt idx="4">
                  <c:v>0</c:v>
                </c:pt>
                <c:pt idx="5">
                  <c:v>0</c:v>
                </c:pt>
                <c:pt idx="6">
                  <c:v>0</c:v>
                </c:pt>
                <c:pt idx="7">
                  <c:v>0</c:v>
                </c:pt>
                <c:pt idx="8">
                  <c:v>0</c:v>
                </c:pt>
              </c:numCache>
            </c:numRef>
          </c:val>
        </c:ser>
        <c:ser>
          <c:idx val="1"/>
          <c:order val="1"/>
          <c:tx>
            <c:strRef>
              <c:f>RESUMO!$J$9</c:f>
              <c:strCache>
                <c:ptCount val="1"/>
                <c:pt idx="0">
                  <c:v>jun/21</c:v>
                </c:pt>
              </c:strCache>
            </c:strRef>
          </c:tx>
          <c:spPr>
            <a:solidFill>
              <a:srgbClr val="C0504D"/>
            </a:solidFill>
            <a:ln w="25400">
              <a:noFill/>
            </a:ln>
          </c:spPr>
          <c:invertIfNegative val="0"/>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RESUMO!$H$10:$H$18</c:f>
              <c:strCache>
                <c:ptCount val="9"/>
                <c:pt idx="0">
                  <c:v>Vacas lactação</c:v>
                </c:pt>
                <c:pt idx="1">
                  <c:v>Vacas secas</c:v>
                </c:pt>
                <c:pt idx="2">
                  <c:v>Fêmeas +24 meses</c:v>
                </c:pt>
                <c:pt idx="3">
                  <c:v>Fêmeas 13-24 meses</c:v>
                </c:pt>
                <c:pt idx="4">
                  <c:v>Fêmeas 0-12 meses</c:v>
                </c:pt>
                <c:pt idx="5">
                  <c:v>Machos +24 meses</c:v>
                </c:pt>
                <c:pt idx="6">
                  <c:v>Machos 13-24 meses</c:v>
                </c:pt>
                <c:pt idx="7">
                  <c:v>Machos 0-12 meses</c:v>
                </c:pt>
                <c:pt idx="8">
                  <c:v>Touros</c:v>
                </c:pt>
              </c:strCache>
            </c:strRef>
          </c:cat>
          <c:val>
            <c:numRef>
              <c:f>RESUMO!$J$10:$J$18</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219"/>
        <c:overlap val="-27"/>
        <c:axId val="818417648"/>
        <c:axId val="818418040"/>
      </c:barChart>
      <c:catAx>
        <c:axId val="818417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sz="800" b="0" i="0" u="none" strike="noStrike" baseline="0">
                <a:solidFill>
                  <a:srgbClr val="333333"/>
                </a:solidFill>
                <a:latin typeface="Calibri"/>
                <a:ea typeface="Calibri"/>
                <a:cs typeface="Calibri"/>
              </a:defRPr>
            </a:pPr>
            <a:endParaRPr lang="pt-BR"/>
          </a:p>
        </c:txPr>
        <c:crossAx val="818418040"/>
        <c:crosses val="autoZero"/>
        <c:auto val="1"/>
        <c:lblAlgn val="ctr"/>
        <c:lblOffset val="100"/>
        <c:noMultiLvlLbl val="0"/>
      </c:catAx>
      <c:valAx>
        <c:axId val="818418040"/>
        <c:scaling>
          <c:orientation val="minMax"/>
        </c:scaling>
        <c:delete val="0"/>
        <c:axPos val="l"/>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pt-BR"/>
          </a:p>
        </c:txPr>
        <c:crossAx val="818417648"/>
        <c:crosses val="autoZero"/>
        <c:crossBetween val="between"/>
      </c:valAx>
      <c:spPr>
        <a:noFill/>
        <a:ln w="25400">
          <a:noFill/>
        </a:ln>
      </c:spPr>
    </c:plotArea>
    <c:legend>
      <c:legendPos val="b"/>
      <c:layout/>
      <c:overlay val="0"/>
      <c:spPr>
        <a:noFill/>
        <a:ln w="25400">
          <a:noFill/>
        </a:ln>
      </c:spPr>
      <c:txPr>
        <a:bodyPr/>
        <a:lstStyle/>
        <a:p>
          <a:pPr>
            <a:defRPr sz="825" b="0" i="0" u="none" strike="noStrike" baseline="0">
              <a:solidFill>
                <a:srgbClr val="333333"/>
              </a:solidFill>
              <a:latin typeface="Calibri"/>
              <a:ea typeface="Calibri"/>
              <a:cs typeface="Calibri"/>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pt-BR"/>
              <a:t>Renda da Família</a:t>
            </a:r>
          </a:p>
        </c:rich>
      </c:tx>
      <c:layout>
        <c:manualLayout>
          <c:xMode val="edge"/>
          <c:yMode val="edge"/>
          <c:x val="0.28652851726867473"/>
          <c:y val="6.8435573460294219E-2"/>
        </c:manualLayout>
      </c:layout>
      <c:overlay val="0"/>
      <c:spPr>
        <a:noFill/>
        <a:ln w="25400">
          <a:noFill/>
        </a:ln>
      </c:spPr>
    </c:title>
    <c:autoTitleDeleted val="0"/>
    <c:plotArea>
      <c:layout>
        <c:manualLayout>
          <c:layoutTarget val="inner"/>
          <c:xMode val="edge"/>
          <c:yMode val="edge"/>
          <c:x val="4.5452796661286904E-2"/>
          <c:y val="0.32962644204358177"/>
          <c:w val="0.28176554017704308"/>
          <c:h val="0.52749130195934812"/>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Lbls>
            <c:spPr>
              <a:noFill/>
              <a:ln w="25400">
                <a:noFill/>
              </a:ln>
            </c:spPr>
            <c:txPr>
              <a:bodyPr wrap="square" lIns="38100" tIns="19050" rIns="38100" bIns="19050" anchor="ctr">
                <a:spAutoFit/>
              </a:bodyPr>
              <a:lstStyle/>
              <a:p>
                <a:pPr>
                  <a:defRPr sz="1200" b="0" i="0" u="none" strike="noStrike" baseline="0">
                    <a:solidFill>
                      <a:srgbClr val="333333"/>
                    </a:solidFill>
                    <a:latin typeface="Calibri"/>
                    <a:ea typeface="Calibri"/>
                    <a:cs typeface="Calibri"/>
                  </a:defRPr>
                </a:pPr>
                <a:endParaRPr lang="pt-B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RESUMO!$H$52:$H$54</c:f>
              <c:strCache>
                <c:ptCount val="3"/>
                <c:pt idx="0">
                  <c:v>Atividade Leiteira</c:v>
                </c:pt>
                <c:pt idx="1">
                  <c:v>Agricultura (grãos)</c:v>
                </c:pt>
                <c:pt idx="2">
                  <c:v>Outras rendas não agrícolas</c:v>
                </c:pt>
              </c:strCache>
            </c:strRef>
          </c:cat>
          <c:val>
            <c:numRef>
              <c:f>RESUMO!$J$52:$J$54</c:f>
              <c:numCache>
                <c:formatCode>#,##0</c:formatCode>
                <c:ptCount val="3"/>
                <c:pt idx="0">
                  <c:v>0</c:v>
                </c:pt>
                <c:pt idx="1">
                  <c:v>0</c:v>
                </c:pt>
                <c:pt idx="2">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874315710536181"/>
          <c:y val="0.35504120124519317"/>
          <c:w val="0.62055309752947552"/>
          <c:h val="0.4755881096258317"/>
        </c:manualLayout>
      </c:layout>
      <c:overlay val="0"/>
      <c:spPr>
        <a:noFill/>
        <a:ln w="25400">
          <a:noFill/>
        </a:ln>
      </c:spPr>
      <c:txPr>
        <a:bodyPr/>
        <a:lstStyle/>
        <a:p>
          <a:pPr>
            <a:defRPr sz="1050" b="0" i="0" u="none" strike="noStrike" baseline="0">
              <a:solidFill>
                <a:srgbClr val="333333"/>
              </a:solidFill>
              <a:latin typeface="Calibri"/>
              <a:ea typeface="Calibri"/>
              <a:cs typeface="Calibri"/>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pt-BR"/>
              <a:t>Pastagens e Suplementos</a:t>
            </a:r>
          </a:p>
        </c:rich>
      </c:tx>
      <c:layout/>
      <c:overlay val="0"/>
      <c:spPr>
        <a:noFill/>
        <a:ln w="25400">
          <a:noFill/>
        </a:ln>
      </c:spPr>
    </c:title>
    <c:autoTitleDeleted val="0"/>
    <c:plotArea>
      <c:layout/>
      <c:barChart>
        <c:barDir val="bar"/>
        <c:grouping val="clustered"/>
        <c:varyColors val="0"/>
        <c:ser>
          <c:idx val="0"/>
          <c:order val="0"/>
          <c:spPr>
            <a:solidFill>
              <a:srgbClr val="4F81BD"/>
            </a:solidFill>
            <a:ln w="25400">
              <a:noFill/>
            </a:ln>
          </c:spPr>
          <c:invertIfNegative val="0"/>
          <c:dPt>
            <c:idx val="0"/>
            <c:invertIfNegative val="0"/>
            <c:bubble3D val="0"/>
            <c:spPr>
              <a:pattFill prst="dkVert">
                <a:fgClr>
                  <a:srgbClr val="0070C0"/>
                </a:fgClr>
                <a:bgClr>
                  <a:srgbClr val="FFFFFF"/>
                </a:bgClr>
              </a:pattFill>
              <a:ln w="25400">
                <a:noFill/>
              </a:ln>
            </c:spPr>
          </c:dPt>
          <c:dPt>
            <c:idx val="2"/>
            <c:invertIfNegative val="0"/>
            <c:bubble3D val="0"/>
            <c:spPr>
              <a:pattFill prst="pct40">
                <a:fgClr>
                  <a:srgbClr val="0070C0"/>
                </a:fgClr>
                <a:bgClr>
                  <a:srgbClr val="FFFFFF"/>
                </a:bgClr>
              </a:pattFill>
              <a:ln w="25400">
                <a:noFill/>
              </a:ln>
            </c:spPr>
          </c:dPt>
          <c:dPt>
            <c:idx val="4"/>
            <c:invertIfNegative val="0"/>
            <c:bubble3D val="0"/>
            <c:spPr>
              <a:solidFill>
                <a:srgbClr val="9BBB59"/>
              </a:solidFill>
              <a:ln w="25400">
                <a:noFill/>
              </a:ln>
            </c:spPr>
          </c:dPt>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RESUMO!$I$24:$I$27</c:f>
              <c:strCache>
                <c:ptCount val="4"/>
                <c:pt idx="0">
                  <c:v>Consumo de silagem por vaca em lactação</c:v>
                </c:pt>
                <c:pt idx="1">
                  <c:v>Consumo de concentrado por vaca em lactação</c:v>
                </c:pt>
                <c:pt idx="2">
                  <c:v>Lotação animal (cabeças/ha)</c:v>
                </c:pt>
                <c:pt idx="3">
                  <c:v>Relação concentrado / litro de leite (acima de 10 litros)*</c:v>
                </c:pt>
              </c:strCache>
            </c:strRef>
          </c:cat>
          <c:val>
            <c:numRef>
              <c:f>RESUMO!$J$24:$J$27</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82"/>
        <c:axId val="784493392"/>
        <c:axId val="784493784"/>
      </c:barChart>
      <c:catAx>
        <c:axId val="7844933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pt-BR"/>
          </a:p>
        </c:txPr>
        <c:crossAx val="784493784"/>
        <c:crosses val="autoZero"/>
        <c:auto val="1"/>
        <c:lblAlgn val="ctr"/>
        <c:lblOffset val="100"/>
        <c:noMultiLvlLbl val="0"/>
      </c:catAx>
      <c:valAx>
        <c:axId val="784493784"/>
        <c:scaling>
          <c:orientation val="minMax"/>
        </c:scaling>
        <c:delete val="1"/>
        <c:axPos val="b"/>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78449339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pPr>
            <a:r>
              <a:rPr lang="pt-BR" sz="1400" b="0"/>
              <a:t>Utilização da Área</a:t>
            </a:r>
          </a:p>
        </c:rich>
      </c:tx>
      <c:layout/>
      <c:overlay val="0"/>
    </c:title>
    <c:autoTitleDeleted val="0"/>
    <c:plotArea>
      <c:layout/>
      <c:pieChart>
        <c:varyColors val="1"/>
        <c:ser>
          <c:idx val="0"/>
          <c:order val="0"/>
          <c:explosion val="4"/>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Lbls>
            <c:spPr>
              <a:noFill/>
              <a:ln w="25400">
                <a:noFill/>
              </a:ln>
            </c:spPr>
            <c:txPr>
              <a:bodyPr/>
              <a:lstStyle/>
              <a:p>
                <a:pPr>
                  <a:defRPr sz="1200"/>
                </a:pPr>
                <a:endParaRPr lang="pt-B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RESUMO!$E$9:$E$11</c:f>
              <c:strCache>
                <c:ptCount val="3"/>
                <c:pt idx="0">
                  <c:v>Área média com Grãos</c:v>
                </c:pt>
                <c:pt idx="1">
                  <c:v>Área média com pastagens</c:v>
                </c:pt>
                <c:pt idx="2">
                  <c:v>Área de silagem*</c:v>
                </c:pt>
              </c:strCache>
            </c:strRef>
          </c:cat>
          <c:val>
            <c:numRef>
              <c:f>RESUMO!$F$9:$F$11</c:f>
              <c:numCache>
                <c:formatCode>#,##0.0</c:formatCode>
                <c:ptCount val="3"/>
                <c:pt idx="0">
                  <c:v>0</c:v>
                </c:pt>
                <c:pt idx="1">
                  <c:v>0</c:v>
                </c:pt>
                <c:pt idx="2">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b"/>
      <c:layout/>
      <c:overlay val="0"/>
      <c:txPr>
        <a:bodyPr/>
        <a:lstStyle/>
        <a:p>
          <a:pPr>
            <a:defRPr sz="700"/>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20"/>
      <c:rAngAx val="0"/>
      <c:perspective val="0"/>
    </c:view3D>
    <c:floor>
      <c:thickness val="0"/>
    </c:floor>
    <c:sideWall>
      <c:thickness val="0"/>
    </c:sideWall>
    <c:backWall>
      <c:thickness val="0"/>
    </c:backWall>
    <c:plotArea>
      <c:layout>
        <c:manualLayout>
          <c:layoutTarget val="inner"/>
          <c:xMode val="edge"/>
          <c:yMode val="edge"/>
          <c:x val="0.16347826086956521"/>
          <c:y val="0.30939282162325482"/>
          <c:w val="0.67304347826086952"/>
          <c:h val="0.44567299305254565"/>
        </c:manualLayout>
      </c:layout>
      <c:pie3DChart>
        <c:varyColors val="1"/>
        <c:ser>
          <c:idx val="0"/>
          <c:order val="0"/>
          <c:dPt>
            <c:idx val="0"/>
            <c:bubble3D val="0"/>
          </c:dPt>
          <c:dPt>
            <c:idx val="1"/>
            <c:bubble3D val="0"/>
          </c:dPt>
          <c:dPt>
            <c:idx val="2"/>
            <c:bubble3D val="0"/>
          </c:dPt>
          <c:dLbls>
            <c:dLbl>
              <c:idx val="2"/>
              <c:layout>
                <c:manualLayout>
                  <c:x val="-0.40042851666845863"/>
                  <c:y val="-7.8225707568392672E-2"/>
                </c:manualLayout>
              </c:layout>
              <c:numFmt formatCode="0%" sourceLinked="0"/>
              <c:spPr>
                <a:noFill/>
                <a:ln w="25400">
                  <a:noFill/>
                </a:ln>
              </c:spPr>
              <c:txPr>
                <a:bodyPr/>
                <a:lstStyle/>
                <a:p>
                  <a:pPr>
                    <a:defRPr sz="800" b="0" i="0" u="none" strike="noStrike" baseline="0">
                      <a:solidFill>
                        <a:srgbClr val="000000"/>
                      </a:solidFill>
                      <a:latin typeface="Calibri"/>
                      <a:ea typeface="Calibri"/>
                      <a:cs typeface="Calibri"/>
                    </a:defRPr>
                  </a:pPr>
                  <a:endParaRPr lang="pt-BR"/>
                </a:p>
              </c:txPr>
              <c:dLblPos val="bestFit"/>
              <c:showLegendKey val="1"/>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pt-BR"/>
              </a:p>
            </c:txPr>
            <c:showLegendKey val="1"/>
            <c:showVal val="0"/>
            <c:showCatName val="1"/>
            <c:showSerName val="0"/>
            <c:showPercent val="1"/>
            <c:showBubbleSize val="0"/>
            <c:showLeaderLines val="1"/>
            <c:extLst>
              <c:ext xmlns:c15="http://schemas.microsoft.com/office/drawing/2012/chart" uri="{CE6537A1-D6FC-4f65-9D91-7224C49458BB}"/>
            </c:extLst>
          </c:dLbls>
          <c:cat>
            <c:strRef>
              <c:f>'RESUMO RESULTADO GERAL'!$A$41:$A$43</c:f>
              <c:strCache>
                <c:ptCount val="3"/>
                <c:pt idx="0">
                  <c:v>CUSTO OPERACIONAL (CO)</c:v>
                </c:pt>
                <c:pt idx="1">
                  <c:v>DEPRECIAÇÃO E OUTROS CUSTOS FIXOS (DF)</c:v>
                </c:pt>
                <c:pt idx="2">
                  <c:v>MARGEM LÍQUIDA</c:v>
                </c:pt>
              </c:strCache>
            </c:strRef>
          </c:cat>
          <c:val>
            <c:numRef>
              <c:f>'RESUMO RESULTADO GERAL'!$B$41:$B$43</c:f>
              <c:numCache>
                <c:formatCode>_(* #,##0.00_);_(* \(#,##0.00\);_(* "-"??_);_(@_)</c:formatCode>
                <c:ptCount val="3"/>
                <c:pt idx="0">
                  <c:v>0</c:v>
                </c:pt>
                <c:pt idx="1">
                  <c:v>5805</c:v>
                </c:pt>
                <c:pt idx="2">
                  <c:v>0</c:v>
                </c:pt>
              </c:numCache>
            </c:numRef>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txPr>
    <a:bodyPr/>
    <a:lstStyle/>
    <a:p>
      <a:pPr>
        <a:defRPr sz="8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8" footer="0.31496062000000008"/>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pt-BR"/>
              <a:t>DETALHAMENTO DO CUSTO OPERACIONAL TOTAL (COT)</a:t>
            </a:r>
          </a:p>
        </c:rich>
      </c:tx>
      <c:layout>
        <c:manualLayout>
          <c:xMode val="edge"/>
          <c:yMode val="edge"/>
          <c:x val="0.29497318680488682"/>
          <c:y val="2.8674775868070258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0305755395683454"/>
          <c:y val="0.38709745165744647"/>
          <c:w val="0.39568345323741005"/>
          <c:h val="0.31362062055580153"/>
        </c:manualLayout>
      </c:layout>
      <c:pie3DChart>
        <c:varyColors val="1"/>
        <c:ser>
          <c:idx val="0"/>
          <c:order val="0"/>
          <c:spPr>
            <a:solidFill>
              <a:srgbClr val="9999FF"/>
            </a:solidFill>
            <a:ln w="12700">
              <a:solidFill>
                <a:srgbClr val="000000"/>
              </a:solidFill>
              <a:prstDash val="solid"/>
            </a:ln>
          </c:spPr>
          <c:dPt>
            <c:idx val="0"/>
            <c:bubble3D val="0"/>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975" b="0" i="0" u="none" strike="noStrike" baseline="0">
                    <a:solidFill>
                      <a:srgbClr val="000000"/>
                    </a:solidFill>
                    <a:latin typeface="Arial"/>
                    <a:ea typeface="Arial"/>
                    <a:cs typeface="Arial"/>
                  </a:defRPr>
                </a:pPr>
                <a:endParaRPr lang="pt-BR"/>
              </a:p>
            </c:txPr>
            <c:showLegendKey val="0"/>
            <c:showVal val="0"/>
            <c:showCatName val="1"/>
            <c:showSerName val="0"/>
            <c:showPercent val="1"/>
            <c:showBubbleSize val="0"/>
            <c:showLeaderLines val="1"/>
            <c:extLst>
              <c:ext xmlns:c15="http://schemas.microsoft.com/office/drawing/2012/chart" uri="{CE6537A1-D6FC-4f65-9D91-7224C49458BB}"/>
            </c:extLst>
          </c:dLbls>
          <c:cat>
            <c:strRef>
              <c:f>'I. RESULTADO ECON. GLOBAL '!$B$46:$B$51</c:f>
              <c:strCache>
                <c:ptCount val="6"/>
                <c:pt idx="0">
                  <c:v>             Insumos e serviços </c:v>
                </c:pt>
                <c:pt idx="1">
                  <c:v>            conservação reparos de maquinas </c:v>
                </c:pt>
                <c:pt idx="2">
                  <c:v>            conservação e reparos de construções</c:v>
                </c:pt>
                <c:pt idx="3">
                  <c:v>            mão obra contratada</c:v>
                </c:pt>
                <c:pt idx="4">
                  <c:v>           outras despesas:  ITR, impostos,juros, funrural, arrendamentos, etc. </c:v>
                </c:pt>
                <c:pt idx="5">
                  <c:v>depreciação</c:v>
                </c:pt>
              </c:strCache>
            </c:strRef>
          </c:cat>
          <c:val>
            <c:numRef>
              <c:f>'I. RESULTADO ECON. GLOBAL '!$F$46:$F$51</c:f>
              <c:numCache>
                <c:formatCode>0%</c:formatCode>
                <c:ptCount val="6"/>
                <c:pt idx="0">
                  <c:v>0</c:v>
                </c:pt>
                <c:pt idx="1">
                  <c:v>0</c:v>
                </c:pt>
                <c:pt idx="2">
                  <c:v>0</c:v>
                </c:pt>
                <c:pt idx="3">
                  <c:v>0</c:v>
                </c:pt>
                <c:pt idx="4">
                  <c:v>0</c:v>
                </c:pt>
                <c:pt idx="5">
                  <c:v>1</c:v>
                </c:pt>
              </c:numCache>
            </c:numRef>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pt-BR"/>
    </a:p>
  </c:txPr>
  <c:printSettings>
    <c:headerFooter alignWithMargins="0"/>
    <c:pageMargins b="0.984251969" l="0.78740157499999996" r="0.78740157499999996" t="0.984251969" header="0.49212598499999999" footer="0.49212598499999999"/>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pt-BR"/>
              <a:t>CUSTO OPERACIONAL ATIVIDADE LEITEIRA</a:t>
            </a:r>
          </a:p>
        </c:rich>
      </c:tx>
      <c:layout>
        <c:manualLayout>
          <c:xMode val="edge"/>
          <c:yMode val="edge"/>
          <c:x val="0.24809213503484476"/>
          <c:y val="2.9228434128406186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639873533167143"/>
          <c:y val="0.37787056367432148"/>
          <c:w val="0.42624560944011297"/>
          <c:h val="0.36951983298538621"/>
        </c:manualLayout>
      </c:layout>
      <c:pie3DChart>
        <c:varyColors val="1"/>
        <c:ser>
          <c:idx val="0"/>
          <c:order val="0"/>
          <c:spPr>
            <a:solidFill>
              <a:srgbClr val="9999FF"/>
            </a:solidFill>
            <a:ln w="12700">
              <a:solidFill>
                <a:srgbClr val="000000"/>
              </a:solidFill>
              <a:prstDash val="solid"/>
            </a:ln>
          </c:spPr>
          <c:dPt>
            <c:idx val="0"/>
            <c:bubble3D val="0"/>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Lbls>
            <c:dLbl>
              <c:idx val="0"/>
              <c:layout>
                <c:manualLayout>
                  <c:x val="0.27982751774409975"/>
                  <c:y val="0.44660864539625955"/>
                </c:manualLayout>
              </c:layout>
              <c:numFmt formatCode="0%" sourceLinked="0"/>
              <c:spPr>
                <a:noFill/>
                <a:ln w="25400">
                  <a:noFill/>
                </a:ln>
              </c:spPr>
              <c:txPr>
                <a:bodyPr/>
                <a:lstStyle/>
                <a:p>
                  <a:pPr>
                    <a:defRPr sz="850" b="0" i="0" u="none" strike="noStrike" baseline="0">
                      <a:solidFill>
                        <a:srgbClr val="000000"/>
                      </a:solidFill>
                      <a:latin typeface="Arial"/>
                      <a:ea typeface="Arial"/>
                      <a:cs typeface="Arial"/>
                    </a:defRPr>
                  </a:pPr>
                  <a:endParaRPr lang="pt-BR"/>
                </a:p>
              </c:txPr>
              <c:dLblPos val="bestFit"/>
              <c:showLegendKey val="0"/>
              <c:showVal val="0"/>
              <c:showCatName val="1"/>
              <c:showSerName val="0"/>
              <c:showPercent val="1"/>
              <c:showBubbleSize val="0"/>
              <c:extLst>
                <c:ext xmlns:c15="http://schemas.microsoft.com/office/drawing/2012/chart" uri="{CE6537A1-D6FC-4f65-9D91-7224C49458BB}"/>
              </c:extLst>
            </c:dLbl>
            <c:dLbl>
              <c:idx val="1"/>
              <c:layout>
                <c:manualLayout>
                  <c:x val="-0.25786849549080548"/>
                  <c:y val="0.51132878746088584"/>
                </c:manualLayout>
              </c:layout>
              <c:numFmt formatCode="0%" sourceLinked="0"/>
              <c:spPr>
                <a:noFill/>
                <a:ln w="25400">
                  <a:noFill/>
                </a:ln>
              </c:spPr>
              <c:txPr>
                <a:bodyPr/>
                <a:lstStyle/>
                <a:p>
                  <a:pPr>
                    <a:defRPr sz="850" b="0" i="0" u="none" strike="noStrike" baseline="0">
                      <a:solidFill>
                        <a:srgbClr val="000000"/>
                      </a:solidFill>
                      <a:latin typeface="Arial"/>
                      <a:ea typeface="Arial"/>
                      <a:cs typeface="Arial"/>
                    </a:defRPr>
                  </a:pPr>
                  <a:endParaRPr lang="pt-BR"/>
                </a:p>
              </c:txPr>
              <c:dLblPos val="bestFit"/>
              <c:showLegendKey val="0"/>
              <c:showVal val="0"/>
              <c:showCatName val="1"/>
              <c:showSerName val="0"/>
              <c:showPercent val="1"/>
              <c:showBubbleSize val="0"/>
              <c:extLst>
                <c:ext xmlns:c15="http://schemas.microsoft.com/office/drawing/2012/chart" uri="{CE6537A1-D6FC-4f65-9D91-7224C49458BB}"/>
              </c:extLst>
            </c:dLbl>
            <c:dLbl>
              <c:idx val="2"/>
              <c:layout>
                <c:manualLayout>
                  <c:x val="-0.34753264072460277"/>
                  <c:y val="0.20443004928346409"/>
                </c:manualLayout>
              </c:layout>
              <c:numFmt formatCode="0%" sourceLinked="0"/>
              <c:spPr>
                <a:noFill/>
                <a:ln w="25400">
                  <a:noFill/>
                </a:ln>
              </c:spPr>
              <c:txPr>
                <a:bodyPr/>
                <a:lstStyle/>
                <a:p>
                  <a:pPr>
                    <a:defRPr sz="850" b="0" i="0" u="none" strike="noStrike" baseline="0">
                      <a:solidFill>
                        <a:srgbClr val="000000"/>
                      </a:solidFill>
                      <a:latin typeface="Arial"/>
                      <a:ea typeface="Arial"/>
                      <a:cs typeface="Arial"/>
                    </a:defRPr>
                  </a:pPr>
                  <a:endParaRPr lang="pt-BR"/>
                </a:p>
              </c:txPr>
              <c:dLblPos val="bestFit"/>
              <c:showLegendKey val="0"/>
              <c:showVal val="0"/>
              <c:showCatName val="1"/>
              <c:showSerName val="0"/>
              <c:showPercent val="1"/>
              <c:showBubbleSize val="0"/>
              <c:extLst>
                <c:ext xmlns:c15="http://schemas.microsoft.com/office/drawing/2012/chart" uri="{CE6537A1-D6FC-4f65-9D91-7224C49458BB}"/>
              </c:extLst>
            </c:dLbl>
            <c:dLbl>
              <c:idx val="3"/>
              <c:layout>
                <c:manualLayout>
                  <c:x val="-0.3164209839434845"/>
                  <c:y val="0.35266005207664064"/>
                </c:manualLayout>
              </c:layout>
              <c:numFmt formatCode="0%" sourceLinked="0"/>
              <c:spPr>
                <a:noFill/>
                <a:ln w="25400">
                  <a:noFill/>
                </a:ln>
              </c:spPr>
              <c:txPr>
                <a:bodyPr/>
                <a:lstStyle/>
                <a:p>
                  <a:pPr>
                    <a:defRPr sz="850" b="0" i="0" u="none" strike="noStrike" baseline="0">
                      <a:solidFill>
                        <a:srgbClr val="000000"/>
                      </a:solidFill>
                      <a:latin typeface="Arial"/>
                      <a:ea typeface="Arial"/>
                      <a:cs typeface="Arial"/>
                    </a:defRPr>
                  </a:pPr>
                  <a:endParaRPr lang="pt-BR"/>
                </a:p>
              </c:txPr>
              <c:dLblPos val="bestFit"/>
              <c:showLegendKey val="0"/>
              <c:showVal val="0"/>
              <c:showCatName val="1"/>
              <c:showSerName val="0"/>
              <c:showPercent val="1"/>
              <c:showBubbleSize val="0"/>
              <c:extLst>
                <c:ext xmlns:c15="http://schemas.microsoft.com/office/drawing/2012/chart" uri="{CE6537A1-D6FC-4f65-9D91-7224C49458BB}"/>
              </c:extLst>
            </c:dLbl>
            <c:dLbl>
              <c:idx val="4"/>
              <c:layout>
                <c:manualLayout>
                  <c:x val="-0.29342644593139244"/>
                  <c:y val="3.3303703804246632E-2"/>
                </c:manualLayout>
              </c:layout>
              <c:numFmt formatCode="0%" sourceLinked="0"/>
              <c:spPr>
                <a:noFill/>
                <a:ln w="25400">
                  <a:noFill/>
                </a:ln>
              </c:spPr>
              <c:txPr>
                <a:bodyPr/>
                <a:lstStyle/>
                <a:p>
                  <a:pPr>
                    <a:defRPr sz="850" b="0" i="0" u="none" strike="noStrike" baseline="0">
                      <a:solidFill>
                        <a:srgbClr val="000000"/>
                      </a:solidFill>
                      <a:latin typeface="Arial"/>
                      <a:ea typeface="Arial"/>
                      <a:cs typeface="Arial"/>
                    </a:defRPr>
                  </a:pPr>
                  <a:endParaRPr lang="pt-BR"/>
                </a:p>
              </c:txPr>
              <c:dLblPos val="bestFit"/>
              <c:showLegendKey val="0"/>
              <c:showVal val="0"/>
              <c:showCatName val="1"/>
              <c:showSerName val="0"/>
              <c:showPercent val="1"/>
              <c:showBubbleSize val="0"/>
              <c:extLst>
                <c:ext xmlns:c15="http://schemas.microsoft.com/office/drawing/2012/chart" uri="{CE6537A1-D6FC-4f65-9D91-7224C49458BB}"/>
              </c:extLst>
            </c:dLbl>
            <c:dLbl>
              <c:idx val="5"/>
              <c:layout>
                <c:manualLayout>
                  <c:x val="-0.35689258108698263"/>
                  <c:y val="-9.6067930489979081E-2"/>
                </c:manualLayout>
              </c:layout>
              <c:numFmt formatCode="0%" sourceLinked="0"/>
              <c:spPr>
                <a:noFill/>
                <a:ln w="25400">
                  <a:noFill/>
                </a:ln>
              </c:spPr>
              <c:txPr>
                <a:bodyPr/>
                <a:lstStyle/>
                <a:p>
                  <a:pPr>
                    <a:defRPr sz="850" b="0" i="0" u="none" strike="noStrike" baseline="0">
                      <a:solidFill>
                        <a:srgbClr val="000000"/>
                      </a:solidFill>
                      <a:latin typeface="Arial"/>
                      <a:ea typeface="Arial"/>
                      <a:cs typeface="Arial"/>
                    </a:defRPr>
                  </a:pPr>
                  <a:endParaRPr lang="pt-BR"/>
                </a:p>
              </c:txPr>
              <c:dLblPos val="bestFit"/>
              <c:showLegendKey val="0"/>
              <c:showVal val="0"/>
              <c:showCatName val="1"/>
              <c:showSerName val="0"/>
              <c:showPercent val="1"/>
              <c:showBubbleSize val="0"/>
              <c:extLst>
                <c:ext xmlns:c15="http://schemas.microsoft.com/office/drawing/2012/chart" uri="{CE6537A1-D6FC-4f65-9D91-7224C49458BB}"/>
              </c:extLst>
            </c:dLbl>
            <c:dLbl>
              <c:idx val="6"/>
              <c:layout>
                <c:manualLayout>
                  <c:x val="-5.7230198301608803E-2"/>
                  <c:y val="-0.11917066103966772"/>
                </c:manualLayout>
              </c:layout>
              <c:numFmt formatCode="0%" sourceLinked="0"/>
              <c:spPr>
                <a:noFill/>
                <a:ln w="25400">
                  <a:noFill/>
                </a:ln>
              </c:spPr>
              <c:txPr>
                <a:bodyPr/>
                <a:lstStyle/>
                <a:p>
                  <a:pPr>
                    <a:defRPr sz="850" b="0" i="0" u="none" strike="noStrike" baseline="0">
                      <a:solidFill>
                        <a:srgbClr val="000000"/>
                      </a:solidFill>
                      <a:latin typeface="Arial"/>
                      <a:ea typeface="Arial"/>
                      <a:cs typeface="Arial"/>
                    </a:defRPr>
                  </a:pPr>
                  <a:endParaRPr lang="pt-BR"/>
                </a:p>
              </c:txPr>
              <c:dLblPos val="bestFit"/>
              <c:showLegendKey val="0"/>
              <c:showVal val="0"/>
              <c:showCatName val="1"/>
              <c:showSerName val="0"/>
              <c:showPercent val="1"/>
              <c:showBubbleSize val="0"/>
              <c:extLst>
                <c:ext xmlns:c15="http://schemas.microsoft.com/office/drawing/2012/chart" uri="{CE6537A1-D6FC-4f65-9D91-7224C49458BB}"/>
              </c:extLst>
            </c:dLbl>
            <c:dLbl>
              <c:idx val="7"/>
              <c:layout>
                <c:manualLayout>
                  <c:x val="0.15353886960481811"/>
                  <c:y val="-0.12334615407609523"/>
                </c:manualLayout>
              </c:layout>
              <c:numFmt formatCode="0%" sourceLinked="0"/>
              <c:spPr>
                <a:noFill/>
                <a:ln w="25400">
                  <a:noFill/>
                </a:ln>
              </c:spPr>
              <c:txPr>
                <a:bodyPr/>
                <a:lstStyle/>
                <a:p>
                  <a:pPr>
                    <a:defRPr sz="850" b="0" i="0" u="none" strike="noStrike" baseline="0">
                      <a:solidFill>
                        <a:srgbClr val="000000"/>
                      </a:solidFill>
                      <a:latin typeface="Arial"/>
                      <a:ea typeface="Arial"/>
                      <a:cs typeface="Arial"/>
                    </a:defRPr>
                  </a:pPr>
                  <a:endParaRPr lang="pt-BR"/>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850" b="0" i="0" u="none" strike="noStrike" baseline="0">
                    <a:solidFill>
                      <a:srgbClr val="000000"/>
                    </a:solidFill>
                    <a:latin typeface="Arial"/>
                    <a:ea typeface="Arial"/>
                    <a:cs typeface="Arial"/>
                  </a:defRPr>
                </a:pPr>
                <a:endParaRPr lang="pt-BR"/>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 RESULT. DETALHE CUSTO LEITE'!$B$59:$B$66</c:f>
              <c:strCache>
                <c:ptCount val="8"/>
                <c:pt idx="0">
                  <c:v>ALIMENTAÇÃO </c:v>
                </c:pt>
                <c:pt idx="1">
                  <c:v>MEDICAMENTOS</c:v>
                </c:pt>
                <c:pt idx="2">
                  <c:v>INSEMINAÇÃO</c:v>
                </c:pt>
                <c:pt idx="3">
                  <c:v>MATERIAL LIMPEZA</c:v>
                </c:pt>
                <c:pt idx="4">
                  <c:v>MÃO OBRA CONTRATADA PARA MANEJO</c:v>
                </c:pt>
                <c:pt idx="5">
                  <c:v>CONSERVAÇÃIO REPAROS MAQUINAS E INSTALAÇÕES DO MANEJO)</c:v>
                </c:pt>
                <c:pt idx="6">
                  <c:v>OUTRAS DESPESAS </c:v>
                </c:pt>
                <c:pt idx="7">
                  <c:v>ENERGIA ELETRICA E AGUA</c:v>
                </c:pt>
              </c:strCache>
            </c:strRef>
          </c:cat>
          <c:val>
            <c:numRef>
              <c:f>' RESULT. DETALHE CUSTO LEITE'!$C$59:$C$66</c:f>
              <c:numCache>
                <c:formatCode>_(* #,##0.00_);_(* \(#,##0.00\);_(* "-"??_);_(@_)</c:formatCode>
                <c:ptCount val="8"/>
                <c:pt idx="0" formatCode="_(* #,##0.00_);_(* \(#,##0.00\);_(* &quot;-&quot;??_);_(@_)">
                  <c:v>0</c:v>
                </c:pt>
                <c:pt idx="1">
                  <c:v>0</c:v>
                </c:pt>
                <c:pt idx="2">
                  <c:v>0</c:v>
                </c:pt>
                <c:pt idx="3">
                  <c:v>0</c:v>
                </c:pt>
                <c:pt idx="4" formatCode="_(* #,##0.00_);_(* \(#,##0.00\);_(* &quot;-&quot;??_);_(@_)">
                  <c:v>0</c:v>
                </c:pt>
                <c:pt idx="5" formatCode="_(* #,##0.00_);_(* \(#,##0.00\);_(* &quot;-&quot;??_);_(@_)">
                  <c:v>0</c:v>
                </c:pt>
                <c:pt idx="6" formatCode="_(* #,##0.00_);_(* \(#,##0.00\);_(* &quot;-&quot;??_);_(@_)">
                  <c:v>0</c:v>
                </c:pt>
                <c:pt idx="7">
                  <c:v>0</c:v>
                </c:pt>
              </c:numCache>
            </c:numRef>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Arial"/>
          <a:ea typeface="Arial"/>
          <a:cs typeface="Arial"/>
        </a:defRPr>
      </a:pPr>
      <a:endParaRPr lang="pt-BR"/>
    </a:p>
  </c:txPr>
  <c:printSettings>
    <c:headerFooter alignWithMargins="0"/>
    <c:pageMargins b="0.984251969" l="0.78740157499999996" r="0.78740157499999996" t="0.984251969" header="0.49212598499999999" footer="0.49212598499999999"/>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pt-BR"/>
              <a:t>ATIVIDADE LEITEIRA: MARGEM BRUTA E CUSTO OPERACIONAL</a:t>
            </a:r>
          </a:p>
        </c:rich>
      </c:tx>
      <c:layout>
        <c:manualLayout>
          <c:xMode val="edge"/>
          <c:yMode val="edge"/>
          <c:x val="0.13000419947506561"/>
          <c:y val="1.5723930735073208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9599999999999999"/>
          <c:y val="0.41824027810619996"/>
          <c:w val="0.40600000000000003"/>
          <c:h val="0.25471776335791124"/>
        </c:manualLayout>
      </c:layout>
      <c:pie3DChart>
        <c:varyColors val="1"/>
        <c:ser>
          <c:idx val="0"/>
          <c:order val="0"/>
          <c:spPr>
            <a:solidFill>
              <a:srgbClr val="9999FF"/>
            </a:solidFill>
            <a:ln w="12700">
              <a:solidFill>
                <a:srgbClr val="000000"/>
              </a:solidFill>
              <a:prstDash val="solid"/>
            </a:ln>
          </c:spPr>
          <c:explosion val="25"/>
          <c:dPt>
            <c:idx val="0"/>
            <c:bubble3D val="0"/>
          </c:dPt>
          <c:dPt>
            <c:idx val="1"/>
            <c:bubble3D val="0"/>
            <c:spPr>
              <a:solidFill>
                <a:srgbClr val="993366"/>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pt-BR"/>
              </a:p>
            </c:txPr>
            <c:showLegendKey val="0"/>
            <c:showVal val="0"/>
            <c:showCatName val="1"/>
            <c:showSerName val="0"/>
            <c:showPercent val="1"/>
            <c:showBubbleSize val="0"/>
            <c:showLeaderLines val="1"/>
            <c:extLst>
              <c:ext xmlns:c15="http://schemas.microsoft.com/office/drawing/2012/chart" uri="{CE6537A1-D6FC-4f65-9D91-7224C49458BB}"/>
            </c:extLst>
          </c:dLbls>
          <c:cat>
            <c:strRef>
              <c:f>('RESUMO RESULTADO GERAL'!$G$43,'RESUMO RESULTADO GERAL'!$G$45)</c:f>
              <c:strCache>
                <c:ptCount val="2"/>
                <c:pt idx="0">
                  <c:v>CUSTO OPERACIONAL (CO)</c:v>
                </c:pt>
                <c:pt idx="1">
                  <c:v>MARGEM BRUTA</c:v>
                </c:pt>
              </c:strCache>
            </c:strRef>
          </c:cat>
          <c:val>
            <c:numRef>
              <c:f>('RESUMO RESULTADO GERAL'!$H$43,'RESUMO RESULTADO GERAL'!$H$45)</c:f>
              <c:numCache>
                <c:formatCode>_(* #,##0.00_);_(* \(#,##0.00\);_(* "-"??_);_(@_)</c:formatCode>
                <c:ptCount val="2"/>
                <c:pt idx="0">
                  <c:v>0</c:v>
                </c:pt>
                <c:pt idx="1">
                  <c:v>15200</c:v>
                </c:pt>
              </c:numCache>
            </c:numRef>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pt-BR"/>
    </a:p>
  </c:txPr>
  <c:printSettings>
    <c:headerFooter alignWithMargins="0"/>
    <c:pageMargins b="0.984251969" l="0.78740157499999996" r="0.78740157499999996" t="0.984251969" header="0.49212598499999999" footer="0.49212598499999999"/>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pt-BR"/>
              <a:t>DESEMPENHO ECONÔMICO DA ATIVIDADE LEITEIRA</a:t>
            </a:r>
          </a:p>
        </c:rich>
      </c:tx>
      <c:layout>
        <c:manualLayout>
          <c:xMode val="edge"/>
          <c:yMode val="edge"/>
          <c:x val="0.18664199233160372"/>
          <c:y val="3.4701640212954458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9953917050691242"/>
          <c:y val="0.44479495268138802"/>
          <c:w val="0.40322580645161288"/>
          <c:h val="0.21766561514195584"/>
        </c:manualLayout>
      </c:layout>
      <c:pie3DChart>
        <c:varyColors val="1"/>
        <c:ser>
          <c:idx val="0"/>
          <c:order val="0"/>
          <c:spPr>
            <a:solidFill>
              <a:srgbClr val="9999FF"/>
            </a:solidFill>
            <a:ln w="12700">
              <a:solidFill>
                <a:srgbClr val="000000"/>
              </a:solidFill>
              <a:prstDash val="solid"/>
            </a:ln>
          </c:spPr>
          <c:explosion val="25"/>
          <c:dPt>
            <c:idx val="0"/>
            <c:bubble3D val="0"/>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Lbls>
            <c:dLbl>
              <c:idx val="0"/>
              <c:layout>
                <c:manualLayout>
                  <c:x val="0.34014965294304567"/>
                  <c:y val="-6.4160306087565455E-2"/>
                </c:manualLayout>
              </c:layout>
              <c:numFmt formatCode="0%" sourceLinked="0"/>
              <c:spPr>
                <a:noFill/>
                <a:ln w="25400">
                  <a:noFill/>
                </a:ln>
              </c:spPr>
              <c:txPr>
                <a:bodyPr/>
                <a:lstStyle/>
                <a:p>
                  <a:pPr>
                    <a:defRPr sz="575" b="0" i="0" u="none" strike="noStrike" baseline="0">
                      <a:solidFill>
                        <a:srgbClr val="000000"/>
                      </a:solidFill>
                      <a:latin typeface="Arial"/>
                      <a:ea typeface="Arial"/>
                      <a:cs typeface="Arial"/>
                    </a:defRPr>
                  </a:pPr>
                  <a:endParaRPr lang="pt-BR"/>
                </a:p>
              </c:txPr>
              <c:dLblPos val="bestFit"/>
              <c:showLegendKey val="0"/>
              <c:showVal val="0"/>
              <c:showCatName val="1"/>
              <c:showSerName val="0"/>
              <c:showPercent val="1"/>
              <c:showBubbleSize val="0"/>
              <c:extLst>
                <c:ext xmlns:c15="http://schemas.microsoft.com/office/drawing/2012/chart" uri="{CE6537A1-D6FC-4f65-9D91-7224C49458BB}"/>
              </c:extLst>
            </c:dLbl>
            <c:dLbl>
              <c:idx val="1"/>
              <c:layout>
                <c:manualLayout>
                  <c:x val="-0.36345888645604191"/>
                  <c:y val="0.34594820217367156"/>
                </c:manualLayout>
              </c:layout>
              <c:numFmt formatCode="0%" sourceLinked="0"/>
              <c:spPr>
                <a:noFill/>
                <a:ln w="25400">
                  <a:noFill/>
                </a:ln>
              </c:spPr>
              <c:txPr>
                <a:bodyPr/>
                <a:lstStyle/>
                <a:p>
                  <a:pPr>
                    <a:defRPr sz="575" b="0" i="0" u="none" strike="noStrike" baseline="0">
                      <a:solidFill>
                        <a:srgbClr val="000000"/>
                      </a:solidFill>
                      <a:latin typeface="Arial"/>
                      <a:ea typeface="Arial"/>
                      <a:cs typeface="Arial"/>
                    </a:defRPr>
                  </a:pPr>
                  <a:endParaRPr lang="pt-BR"/>
                </a:p>
              </c:txPr>
              <c:dLblPos val="bestFit"/>
              <c:showLegendKey val="0"/>
              <c:showVal val="0"/>
              <c:showCatName val="1"/>
              <c:showSerName val="0"/>
              <c:showPercent val="1"/>
              <c:showBubbleSize val="0"/>
              <c:extLst>
                <c:ext xmlns:c15="http://schemas.microsoft.com/office/drawing/2012/chart" uri="{CE6537A1-D6FC-4f65-9D91-7224C49458BB}"/>
              </c:extLst>
            </c:dLbl>
            <c:dLbl>
              <c:idx val="2"/>
              <c:layout>
                <c:manualLayout>
                  <c:x val="-0.38662697132248125"/>
                  <c:y val="-8.6178116840079755E-2"/>
                </c:manualLayout>
              </c:layout>
              <c:numFmt formatCode="0%" sourceLinked="0"/>
              <c:spPr>
                <a:noFill/>
                <a:ln w="25400">
                  <a:noFill/>
                </a:ln>
              </c:spPr>
              <c:txPr>
                <a:bodyPr/>
                <a:lstStyle/>
                <a:p>
                  <a:pPr>
                    <a:defRPr sz="575" b="0" i="0" u="none" strike="noStrike" baseline="0">
                      <a:solidFill>
                        <a:srgbClr val="000000"/>
                      </a:solidFill>
                      <a:latin typeface="Arial"/>
                      <a:ea typeface="Arial"/>
                      <a:cs typeface="Arial"/>
                    </a:defRPr>
                  </a:pPr>
                  <a:endParaRPr lang="pt-BR"/>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575" b="0" i="0" u="none" strike="noStrike" baseline="0">
                    <a:solidFill>
                      <a:srgbClr val="000000"/>
                    </a:solidFill>
                    <a:latin typeface="Arial"/>
                    <a:ea typeface="Arial"/>
                    <a:cs typeface="Arial"/>
                  </a:defRPr>
                </a:pPr>
                <a:endParaRPr lang="pt-BR"/>
              </a:p>
            </c:txPr>
            <c:showLegendKey val="0"/>
            <c:showVal val="0"/>
            <c:showCatName val="1"/>
            <c:showSerName val="0"/>
            <c:showPercent val="1"/>
            <c:showBubbleSize val="0"/>
            <c:showLeaderLines val="1"/>
            <c:extLst>
              <c:ext xmlns:c15="http://schemas.microsoft.com/office/drawing/2012/chart" uri="{CE6537A1-D6FC-4f65-9D91-7224C49458BB}"/>
            </c:extLst>
          </c:dLbls>
          <c:cat>
            <c:strRef>
              <c:f>('RESUMO RESULTADO GERAL'!$G$43,'RESUMO RESULTADO GERAL'!$G$44,'RESUMO RESULTADO GERAL'!$G$46)</c:f>
              <c:strCache>
                <c:ptCount val="3"/>
                <c:pt idx="0">
                  <c:v>CUSTO OPERACIONAL (CO)</c:v>
                </c:pt>
                <c:pt idx="1">
                  <c:v>DEPRECIAÇÃO E CUSTO FIXOS (CF)</c:v>
                </c:pt>
                <c:pt idx="2">
                  <c:v>MARGEM LÍQUIDA</c:v>
                </c:pt>
              </c:strCache>
            </c:strRef>
          </c:cat>
          <c:val>
            <c:numRef>
              <c:f>('RESUMO RESULTADO GERAL'!$H$43,'RESUMO RESULTADO GERAL'!$H$44,'RESUMO RESULTADO GERAL'!$H$46)</c:f>
              <c:numCache>
                <c:formatCode>_(* #,##0.00_);_(* \(#,##0.00\);_(* "-"??_);_(@_)</c:formatCode>
                <c:ptCount val="3"/>
                <c:pt idx="0">
                  <c:v>0</c:v>
                </c:pt>
                <c:pt idx="1">
                  <c:v>4623.75</c:v>
                </c:pt>
                <c:pt idx="2">
                  <c:v>10576.25</c:v>
                </c:pt>
              </c:numCache>
            </c:numRef>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pt-BR"/>
    </a:p>
  </c:txPr>
  <c:printSettings>
    <c:headerFooter alignWithMargins="0"/>
    <c:pageMargins b="0.984251969" l="0.78740157499999996" r="0.78740157499999996" t="0.984251969" header="0.49212598499999999" footer="0.49212598499999999"/>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pt-BR"/>
              <a:t>COMPOSIÇÃO DA RENDA BRUTA</a:t>
            </a:r>
          </a:p>
        </c:rich>
      </c:tx>
      <c:layout>
        <c:manualLayout>
          <c:xMode val="edge"/>
          <c:yMode val="edge"/>
          <c:x val="0.34684189124246795"/>
          <c:y val="5.2982050229503308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260575639386794"/>
          <c:y val="0.3696691019075411"/>
          <c:w val="0.37676088726281159"/>
          <c:h val="0.4028445341300127"/>
        </c:manualLayout>
      </c:layout>
      <c:pie3DChart>
        <c:varyColors val="1"/>
        <c:ser>
          <c:idx val="0"/>
          <c:order val="0"/>
          <c:spPr>
            <a:solidFill>
              <a:srgbClr val="9999FF"/>
            </a:solidFill>
            <a:ln w="12700">
              <a:solidFill>
                <a:srgbClr val="000000"/>
              </a:solidFill>
              <a:prstDash val="solid"/>
            </a:ln>
          </c:spPr>
          <c:explosion val="25"/>
          <c:dPt>
            <c:idx val="0"/>
            <c:bubble3D val="0"/>
          </c:dPt>
          <c:dPt>
            <c:idx val="1"/>
            <c:bubble3D val="0"/>
            <c:spPr>
              <a:solidFill>
                <a:srgbClr val="993366"/>
              </a:solidFill>
              <a:ln w="12700">
                <a:solidFill>
                  <a:srgbClr val="000000"/>
                </a:solidFill>
                <a:prstDash val="solid"/>
              </a:ln>
            </c:spPr>
          </c:dPt>
          <c:cat>
            <c:strRef>
              <c:f>'J. RESULTADO ECON. GERAL LEITE '!$K$12:$K$13</c:f>
              <c:strCache>
                <c:ptCount val="2"/>
                <c:pt idx="0">
                  <c:v>venda e consumo de leite in natura e seus processados</c:v>
                </c:pt>
                <c:pt idx="1">
                  <c:v>venda e consumo
 de animais e seus processados</c:v>
                </c:pt>
              </c:strCache>
            </c:strRef>
          </c:cat>
          <c:val>
            <c:numRef>
              <c:f>'J. RESULTADO ECON. GERAL LEITE '!$L$12:$L$13</c:f>
              <c:numCache>
                <c:formatCode>0.0%</c:formatCode>
                <c:ptCount val="2"/>
                <c:pt idx="0">
                  <c:v>0</c:v>
                </c:pt>
                <c:pt idx="1">
                  <c:v>0</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5845125873350341"/>
          <c:y val="0.42180194300356999"/>
          <c:w val="0.32922572178477694"/>
          <c:h val="0.32227537908472337"/>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pt-BR"/>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pt-BR"/>
    </a:p>
  </c:txPr>
  <c:printSettings>
    <c:headerFooter alignWithMargins="0"/>
    <c:pageMargins b="0.984251969" l="0.78740157499999996" r="0.78740157499999996" t="0.984251969" header="0.49212598499999999" footer="0.49212598499999999"/>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pt-BR"/>
              <a:t>PRODUÇÃO VENDIDA E PREÇO</a:t>
            </a:r>
          </a:p>
        </c:rich>
      </c:tx>
      <c:layout>
        <c:manualLayout>
          <c:xMode val="edge"/>
          <c:yMode val="edge"/>
          <c:x val="0.32885144073971884"/>
          <c:y val="3.2259193407275705E-2"/>
        </c:manualLayout>
      </c:layout>
      <c:overlay val="0"/>
      <c:spPr>
        <a:noFill/>
        <a:ln w="25400">
          <a:noFill/>
        </a:ln>
      </c:spPr>
    </c:title>
    <c:autoTitleDeleted val="0"/>
    <c:plotArea>
      <c:layout>
        <c:manualLayout>
          <c:layoutTarget val="inner"/>
          <c:xMode val="edge"/>
          <c:yMode val="edge"/>
          <c:x val="0.10646907275856056"/>
          <c:y val="0.18548435789534479"/>
          <c:w val="0.78032396363552614"/>
          <c:h val="0.61828119298448259"/>
        </c:manualLayout>
      </c:layout>
      <c:lineChart>
        <c:grouping val="standard"/>
        <c:varyColors val="0"/>
        <c:ser>
          <c:idx val="1"/>
          <c:order val="0"/>
          <c:tx>
            <c:strRef>
              <c:f>PRODUÇÃO!$C$25</c:f>
              <c:strCache>
                <c:ptCount val="1"/>
                <c:pt idx="0">
                  <c:v>Qtde vendida</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PRODUÇÃO!$B$27:$B$38</c:f>
              <c:numCache>
                <c:formatCode>[$-416]mmm\-yy;@</c:formatCode>
                <c:ptCount val="12"/>
                <c:pt idx="0">
                  <c:v>44013</c:v>
                </c:pt>
                <c:pt idx="1">
                  <c:v>44044</c:v>
                </c:pt>
                <c:pt idx="2">
                  <c:v>44075</c:v>
                </c:pt>
                <c:pt idx="3">
                  <c:v>44106</c:v>
                </c:pt>
                <c:pt idx="4">
                  <c:v>44137</c:v>
                </c:pt>
                <c:pt idx="5">
                  <c:v>44168</c:v>
                </c:pt>
                <c:pt idx="6">
                  <c:v>44199</c:v>
                </c:pt>
                <c:pt idx="7">
                  <c:v>44230</c:v>
                </c:pt>
                <c:pt idx="8">
                  <c:v>44261</c:v>
                </c:pt>
                <c:pt idx="9">
                  <c:v>44292</c:v>
                </c:pt>
                <c:pt idx="10">
                  <c:v>44323</c:v>
                </c:pt>
                <c:pt idx="11">
                  <c:v>44354</c:v>
                </c:pt>
              </c:numCache>
            </c:numRef>
          </c:cat>
          <c:val>
            <c:numRef>
              <c:f>PRODUÇÃO!$C$27:$C$38</c:f>
              <c:numCache>
                <c:formatCode>#,##0</c:formatCode>
                <c:ptCount val="12"/>
              </c:numCache>
            </c:numRef>
          </c:val>
          <c:smooth val="0"/>
        </c:ser>
        <c:dLbls>
          <c:showLegendKey val="0"/>
          <c:showVal val="0"/>
          <c:showCatName val="0"/>
          <c:showSerName val="0"/>
          <c:showPercent val="0"/>
          <c:showBubbleSize val="0"/>
        </c:dLbls>
        <c:marker val="1"/>
        <c:smooth val="0"/>
        <c:axId val="826002224"/>
        <c:axId val="826002616"/>
      </c:lineChart>
      <c:lineChart>
        <c:grouping val="standard"/>
        <c:varyColors val="0"/>
        <c:ser>
          <c:idx val="0"/>
          <c:order val="1"/>
          <c:tx>
            <c:strRef>
              <c:f>PRODUÇÃO!$D$25</c:f>
              <c:strCache>
                <c:ptCount val="1"/>
                <c:pt idx="0">
                  <c:v>Preço (R$/litro)</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PRODUÇÃO!$B$27:$B$38</c:f>
              <c:numCache>
                <c:formatCode>[$-416]mmm\-yy;@</c:formatCode>
                <c:ptCount val="12"/>
                <c:pt idx="0">
                  <c:v>44013</c:v>
                </c:pt>
                <c:pt idx="1">
                  <c:v>44044</c:v>
                </c:pt>
                <c:pt idx="2">
                  <c:v>44075</c:v>
                </c:pt>
                <c:pt idx="3">
                  <c:v>44106</c:v>
                </c:pt>
                <c:pt idx="4">
                  <c:v>44137</c:v>
                </c:pt>
                <c:pt idx="5">
                  <c:v>44168</c:v>
                </c:pt>
                <c:pt idx="6">
                  <c:v>44199</c:v>
                </c:pt>
                <c:pt idx="7">
                  <c:v>44230</c:v>
                </c:pt>
                <c:pt idx="8">
                  <c:v>44261</c:v>
                </c:pt>
                <c:pt idx="9">
                  <c:v>44292</c:v>
                </c:pt>
                <c:pt idx="10">
                  <c:v>44323</c:v>
                </c:pt>
                <c:pt idx="11">
                  <c:v>44354</c:v>
                </c:pt>
              </c:numCache>
            </c:numRef>
          </c:cat>
          <c:val>
            <c:numRef>
              <c:f>PRODUÇÃO!$D$27:$D$38</c:f>
              <c:numCache>
                <c:formatCode>#,##0.00</c:formatCode>
                <c:ptCount val="12"/>
              </c:numCache>
            </c:numRef>
          </c:val>
          <c:smooth val="0"/>
        </c:ser>
        <c:dLbls>
          <c:showLegendKey val="0"/>
          <c:showVal val="0"/>
          <c:showCatName val="0"/>
          <c:showSerName val="0"/>
          <c:showPercent val="0"/>
          <c:showBubbleSize val="0"/>
        </c:dLbls>
        <c:marker val="1"/>
        <c:smooth val="0"/>
        <c:axId val="826003008"/>
        <c:axId val="826003400"/>
      </c:lineChart>
      <c:catAx>
        <c:axId val="826002224"/>
        <c:scaling>
          <c:orientation val="minMax"/>
        </c:scaling>
        <c:delete val="0"/>
        <c:axPos val="b"/>
        <c:numFmt formatCode="[$-416]mmm\-yy;@"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826002616"/>
        <c:crosses val="autoZero"/>
        <c:auto val="0"/>
        <c:lblAlgn val="ctr"/>
        <c:lblOffset val="100"/>
        <c:tickLblSkip val="1"/>
        <c:tickMarkSkip val="1"/>
        <c:noMultiLvlLbl val="0"/>
      </c:catAx>
      <c:valAx>
        <c:axId val="826002616"/>
        <c:scaling>
          <c:orientation val="minMax"/>
          <c:min val="1000"/>
        </c:scaling>
        <c:delete val="0"/>
        <c:axPos val="l"/>
        <c:title>
          <c:tx>
            <c:rich>
              <a:bodyPr/>
              <a:lstStyle/>
              <a:p>
                <a:pPr>
                  <a:defRPr sz="1000" b="1" i="0" u="none" strike="noStrike" baseline="0">
                    <a:solidFill>
                      <a:srgbClr val="000000"/>
                    </a:solidFill>
                    <a:latin typeface="Arial"/>
                    <a:ea typeface="Arial"/>
                    <a:cs typeface="Arial"/>
                  </a:defRPr>
                </a:pPr>
                <a:r>
                  <a:rPr lang="pt-BR"/>
                  <a:t>LITROS</a:t>
                </a:r>
              </a:p>
            </c:rich>
          </c:tx>
          <c:layout>
            <c:manualLayout>
              <c:xMode val="edge"/>
              <c:yMode val="edge"/>
              <c:x val="2.1564049776796771E-2"/>
              <c:y val="0.42474557615781899"/>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826002224"/>
        <c:crosses val="autoZero"/>
        <c:crossBetween val="between"/>
      </c:valAx>
      <c:catAx>
        <c:axId val="826003008"/>
        <c:scaling>
          <c:orientation val="minMax"/>
        </c:scaling>
        <c:delete val="1"/>
        <c:axPos val="b"/>
        <c:numFmt formatCode="[$-416]mmm\-yy;@" sourceLinked="1"/>
        <c:majorTickMark val="out"/>
        <c:minorTickMark val="none"/>
        <c:tickLblPos val="nextTo"/>
        <c:crossAx val="826003400"/>
        <c:crosses val="autoZero"/>
        <c:auto val="0"/>
        <c:lblAlgn val="ctr"/>
        <c:lblOffset val="100"/>
        <c:noMultiLvlLbl val="0"/>
      </c:catAx>
      <c:valAx>
        <c:axId val="826003400"/>
        <c:scaling>
          <c:orientation val="minMax"/>
          <c:min val="0.3"/>
        </c:scaling>
        <c:delete val="0"/>
        <c:axPos val="r"/>
        <c:title>
          <c:tx>
            <c:rich>
              <a:bodyPr/>
              <a:lstStyle/>
              <a:p>
                <a:pPr>
                  <a:defRPr sz="1000" b="1" i="0" u="none" strike="noStrike" baseline="0">
                    <a:solidFill>
                      <a:srgbClr val="000000"/>
                    </a:solidFill>
                    <a:latin typeface="Arial"/>
                    <a:ea typeface="Arial"/>
                    <a:cs typeface="Arial"/>
                  </a:defRPr>
                </a:pPr>
                <a:r>
                  <a:rPr lang="pt-BR"/>
                  <a:t>R$ POR LITRO</a:t>
                </a:r>
              </a:p>
            </c:rich>
          </c:tx>
          <c:layout>
            <c:manualLayout>
              <c:xMode val="edge"/>
              <c:yMode val="edge"/>
              <c:x val="0.94881719973682532"/>
              <c:y val="0.36829198769508653"/>
            </c:manualLayout>
          </c:layout>
          <c:overlay val="0"/>
          <c:spPr>
            <a:noFill/>
            <a:ln w="25400">
              <a:noFill/>
            </a:ln>
          </c:spPr>
        </c:title>
        <c:numFmt formatCode="#,##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t-BR"/>
          </a:p>
        </c:txPr>
        <c:crossAx val="826003008"/>
        <c:crosses val="max"/>
        <c:crossBetween val="between"/>
      </c:valAx>
      <c:spPr>
        <a:solidFill>
          <a:srgbClr val="C0C0C0"/>
        </a:solidFill>
        <a:ln w="12700">
          <a:solidFill>
            <a:srgbClr val="808080"/>
          </a:solidFill>
          <a:prstDash val="solid"/>
        </a:ln>
      </c:spPr>
    </c:plotArea>
    <c:legend>
      <c:legendPos val="r"/>
      <c:layout>
        <c:manualLayout>
          <c:xMode val="edge"/>
          <c:yMode val="edge"/>
          <c:x val="0.34097063338780764"/>
          <c:y val="0.91129258036293848"/>
          <c:w val="0.3113208962087286"/>
          <c:h val="6.4516411255044703E-2"/>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Arial"/>
              <a:ea typeface="Arial"/>
              <a:cs typeface="Arial"/>
            </a:defRPr>
          </a:pPr>
          <a:endParaRPr lang="pt-B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pt-BR"/>
    </a:p>
  </c:txPr>
  <c:printSettings>
    <c:headerFooter alignWithMargins="0">
      <c:oddHeader>&amp;A</c:oddHeader>
      <c:oddFooter>Page &amp;P</c:oddFooter>
    </c:headerFooter>
    <c:pageMargins b="0.984251969" l="0.78740157499999996" r="0.78740157499999996" t="0.984251969"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0.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image" Target="../media/image10.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3.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2.xml"/></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0</xdr:col>
      <xdr:colOff>180973</xdr:colOff>
      <xdr:row>0</xdr:row>
      <xdr:rowOff>142874</xdr:rowOff>
    </xdr:from>
    <xdr:to>
      <xdr:col>15</xdr:col>
      <xdr:colOff>124556</xdr:colOff>
      <xdr:row>19</xdr:row>
      <xdr:rowOff>71438</xdr:rowOff>
    </xdr:to>
    <xdr:sp macro="" textlink="">
      <xdr:nvSpPr>
        <xdr:cNvPr id="3" name="Text Box 4"/>
        <xdr:cNvSpPr txBox="1">
          <a:spLocks noChangeArrowheads="1"/>
        </xdr:cNvSpPr>
      </xdr:nvSpPr>
      <xdr:spPr bwMode="auto">
        <a:xfrm>
          <a:off x="180973" y="142874"/>
          <a:ext cx="8754208" cy="2944814"/>
        </a:xfrm>
        <a:prstGeom prst="rect">
          <a:avLst/>
        </a:prstGeom>
        <a:solidFill>
          <a:srgbClr val="FFFF99"/>
        </a:solidFill>
        <a:ln w="25400">
          <a:solidFill>
            <a:srgbClr val="000000"/>
          </a:solidFill>
          <a:miter lim="800000"/>
          <a:headEnd/>
          <a:tailEnd/>
        </a:ln>
      </xdr:spPr>
      <xdr:txBody>
        <a:bodyPr vertOverflow="clip" wrap="square" lIns="91440" tIns="45720" rIns="91440" bIns="45720" anchor="t"/>
        <a:lstStyle/>
        <a:p>
          <a:pPr algn="l" rtl="0">
            <a:defRPr sz="1000"/>
          </a:pPr>
          <a:endParaRPr lang="pt-BR" sz="1200" b="0" i="0" u="none" strike="noStrike" baseline="0">
            <a:solidFill>
              <a:sysClr val="windowText" lastClr="000000"/>
            </a:solidFill>
            <a:latin typeface="Arial"/>
            <a:cs typeface="Arial"/>
          </a:endParaRPr>
        </a:p>
        <a:p>
          <a:pPr algn="l" rtl="0">
            <a:defRPr sz="1000"/>
          </a:pPr>
          <a:r>
            <a:rPr lang="pt-BR" sz="1200" b="0" i="0" u="none" strike="noStrike" baseline="0">
              <a:solidFill>
                <a:sysClr val="windowText" lastClr="000000"/>
              </a:solidFill>
              <a:latin typeface="Arial"/>
              <a:cs typeface="Arial"/>
            </a:rPr>
            <a:t>Planilha de cálculo </a:t>
          </a:r>
          <a:r>
            <a:rPr lang="pt-BR" sz="1200" b="1" i="0" u="none" strike="noStrike" baseline="0">
              <a:solidFill>
                <a:sysClr val="windowText" lastClr="000000"/>
              </a:solidFill>
              <a:latin typeface="Arial"/>
              <a:cs typeface="Arial"/>
            </a:rPr>
            <a:t>NOVA PSP </a:t>
          </a:r>
          <a:r>
            <a:rPr lang="pt-BR" sz="1200" b="0" i="0" u="none" strike="noStrike" baseline="0">
              <a:solidFill>
                <a:sysClr val="windowText" lastClr="000000"/>
              </a:solidFill>
              <a:latin typeface="Arial"/>
              <a:cs typeface="Arial"/>
            </a:rPr>
            <a:t>- (Nova Planilha de Sistematização do Sistema de Produção de Leite) - </a:t>
          </a:r>
          <a:r>
            <a:rPr lang="pt-BR" sz="1200" b="1" i="0" u="sng" strike="noStrike" baseline="0">
              <a:solidFill>
                <a:sysClr val="windowText" lastClr="000000"/>
              </a:solidFill>
              <a:latin typeface="Arial"/>
              <a:cs typeface="Arial"/>
            </a:rPr>
            <a:t>Versão Oficial 7.2</a:t>
          </a:r>
          <a:r>
            <a:rPr lang="pt-BR" sz="1200" b="0" i="0" u="none" strike="noStrike" baseline="0">
              <a:solidFill>
                <a:sysClr val="windowText" lastClr="000000"/>
              </a:solidFill>
              <a:latin typeface="Arial"/>
              <a:cs typeface="Arial"/>
            </a:rPr>
            <a:t> </a:t>
          </a:r>
        </a:p>
        <a:p>
          <a:pPr algn="l" rtl="0">
            <a:defRPr sz="1000"/>
          </a:pPr>
          <a:endParaRPr lang="pt-BR" sz="1200" b="0" i="0" u="none" strike="noStrike" baseline="0">
            <a:solidFill>
              <a:sysClr val="windowText" lastClr="000000"/>
            </a:solidFill>
            <a:latin typeface="Arial"/>
            <a:cs typeface="Arial"/>
          </a:endParaRPr>
        </a:p>
        <a:p>
          <a:pPr algn="l" rtl="0">
            <a:defRPr sz="1000"/>
          </a:pPr>
          <a:r>
            <a:rPr lang="pt-BR" sz="1200" b="0" i="0" u="none" strike="noStrike" baseline="0">
              <a:solidFill>
                <a:sysClr val="windowText" lastClr="000000"/>
              </a:solidFill>
              <a:latin typeface="Arial"/>
              <a:cs typeface="Arial"/>
            </a:rPr>
            <a:t>Elaboração: </a:t>
          </a:r>
          <a:r>
            <a:rPr lang="pt-BR" sz="1200" b="1" i="0" u="sng" strike="noStrike" baseline="0">
              <a:solidFill>
                <a:sysClr val="windowText" lastClr="000000"/>
              </a:solidFill>
              <a:latin typeface="Arial"/>
              <a:cs typeface="Arial"/>
            </a:rPr>
            <a:t>Embrapa Pecuária Sul</a:t>
          </a:r>
          <a:r>
            <a:rPr lang="pt-BR" sz="1200" b="0" i="0" u="none" strike="noStrike" baseline="0">
              <a:solidFill>
                <a:sysClr val="windowText" lastClr="000000"/>
              </a:solidFill>
              <a:latin typeface="Arial"/>
              <a:cs typeface="Arial"/>
            </a:rPr>
            <a:t> e </a:t>
          </a:r>
          <a:r>
            <a:rPr lang="pt-BR" sz="1200" b="1" i="0" u="sng" strike="noStrike" baseline="0">
              <a:solidFill>
                <a:sysClr val="windowText" lastClr="000000"/>
              </a:solidFill>
              <a:latin typeface="Arial"/>
              <a:cs typeface="Arial"/>
            </a:rPr>
            <a:t>Emater Regional de Ijuí</a:t>
          </a:r>
          <a:r>
            <a:rPr lang="pt-BR" sz="1200" b="0" i="0" u="none" strike="noStrike" baseline="0">
              <a:solidFill>
                <a:sysClr val="windowText" lastClr="000000"/>
              </a:solidFill>
              <a:latin typeface="Arial"/>
              <a:cs typeface="Arial"/>
            </a:rPr>
            <a:t>, pelo método participativo adotado na Rede Leite</a:t>
          </a:r>
        </a:p>
        <a:p>
          <a:pPr algn="l" rtl="0">
            <a:defRPr sz="1000"/>
          </a:pPr>
          <a:endParaRPr lang="pt-BR" sz="1200" b="0" i="0" u="none" strike="noStrike" baseline="0">
            <a:solidFill>
              <a:sysClr val="windowText" lastClr="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pt-BR" sz="800" b="0" i="0" u="none" strike="noStrike" baseline="0">
              <a:solidFill>
                <a:sysClr val="windowText" lastClr="000000"/>
              </a:solidFill>
              <a:latin typeface="Arial"/>
              <a:ea typeface="+mn-ea"/>
              <a:cs typeface="Arial"/>
            </a:rPr>
            <a:t>Projeto de referência: </a:t>
          </a:r>
          <a:r>
            <a:rPr lang="pt-BR" sz="1050" b="0">
              <a:effectLst/>
              <a:latin typeface="+mn-lt"/>
              <a:ea typeface="+mn-ea"/>
              <a:cs typeface="+mn-cs"/>
            </a:rPr>
            <a:t>Desenvolvimento de instrumentos para avaliação da sustentabilidade em sistemas de produção de base familiar com pecuária de leite.</a:t>
          </a:r>
          <a:endParaRPr lang="pt-BR" sz="1050" b="0" i="0" u="none" strike="noStrike" baseline="0">
            <a:solidFill>
              <a:sysClr val="windowText" lastClr="000000"/>
            </a:solidFill>
            <a:latin typeface="+mn-lt"/>
            <a:cs typeface="Arial"/>
          </a:endParaRPr>
        </a:p>
        <a:p>
          <a:pPr algn="l" rtl="0">
            <a:defRPr sz="1000"/>
          </a:pPr>
          <a:endParaRPr lang="pt-BR" sz="800" b="0" i="0" u="none" strike="noStrike" baseline="0">
            <a:solidFill>
              <a:sysClr val="windowText" lastClr="000000"/>
            </a:solidFill>
            <a:latin typeface="Arial"/>
            <a:cs typeface="Arial"/>
          </a:endParaRPr>
        </a:p>
        <a:p>
          <a:pPr algn="l" rtl="0">
            <a:defRPr sz="1000"/>
          </a:pPr>
          <a:r>
            <a:rPr lang="pt-BR" sz="800" b="0" i="0" u="none" strike="noStrike" baseline="0">
              <a:solidFill>
                <a:sysClr val="windowText" lastClr="000000"/>
              </a:solidFill>
              <a:latin typeface="Arial"/>
              <a:cs typeface="Arial"/>
            </a:rPr>
            <a:t>Planilha usada como estrutura inicial: </a:t>
          </a:r>
          <a:r>
            <a:rPr lang="pt-BR" sz="1050" b="0" i="0" u="none" baseline="0">
              <a:solidFill>
                <a:sysClr val="windowText" lastClr="000000"/>
              </a:solidFill>
              <a:effectLst/>
              <a:latin typeface="+mn-lt"/>
              <a:ea typeface="+mn-ea"/>
              <a:cs typeface="+mn-cs"/>
            </a:rPr>
            <a:t>COSTA, P.U.N. da. PSP - </a:t>
          </a:r>
          <a:r>
            <a:rPr lang="pt-BR" sz="1050" b="0" i="0" u="none" baseline="0">
              <a:effectLst/>
              <a:latin typeface="+mn-lt"/>
              <a:ea typeface="+mn-ea"/>
              <a:cs typeface="+mn-cs"/>
            </a:rPr>
            <a:t>Planilha de Sistematização da Produção de Leite (versão </a:t>
          </a:r>
          <a:r>
            <a:rPr lang="pt-BR" sz="1050" b="0" i="0" u="none" baseline="0">
              <a:solidFill>
                <a:sysClr val="windowText" lastClr="000000"/>
              </a:solidFill>
              <a:effectLst/>
              <a:latin typeface="+mn-lt"/>
              <a:ea typeface="+mn-ea"/>
              <a:cs typeface="+mn-cs"/>
            </a:rPr>
            <a:t>22 de setembro de 2014). In: Rede Leite: pesquisa-desenvolvimento / Gustavo Martins da Silva, Pedro Urubatan Neto da Costa, Adriano Rudi Maixner, editores técnicos. - Brasília, DF: Embrapa, 2016. 291p.</a:t>
          </a:r>
          <a:endParaRPr lang="pt-BR" sz="1050" b="0" u="none">
            <a:solidFill>
              <a:sysClr val="windowText" lastClr="000000"/>
            </a:solidFill>
            <a:effectLst/>
          </a:endParaRPr>
        </a:p>
        <a:p>
          <a:pPr algn="l" rtl="0">
            <a:defRPr sz="1000"/>
          </a:pPr>
          <a:r>
            <a:rPr lang="pt-BR" sz="800" b="0" i="0" u="none" strike="noStrike" baseline="0">
              <a:solidFill>
                <a:sysClr val="windowText" lastClr="000000"/>
              </a:solidFill>
              <a:latin typeface="Arial"/>
              <a:cs typeface="Arial"/>
            </a:rPr>
            <a:t>					</a:t>
          </a:r>
        </a:p>
        <a:p>
          <a:pPr algn="l" rtl="0">
            <a:defRPr sz="1000"/>
          </a:pPr>
          <a:r>
            <a:rPr lang="pt-BR" sz="800" b="0" i="0" u="none" strike="noStrike" baseline="0">
              <a:solidFill>
                <a:sysClr val="windowText" lastClr="000000"/>
              </a:solidFill>
              <a:latin typeface="Arial"/>
              <a:cs typeface="Arial"/>
            </a:rPr>
            <a:t>			</a:t>
          </a:r>
          <a:endParaRPr lang="pt-BR" sz="800" b="1" i="0" u="none" strike="noStrike" baseline="0">
            <a:solidFill>
              <a:srgbClr val="FF0000"/>
            </a:solidFill>
            <a:latin typeface="Arial"/>
            <a:cs typeface="Arial"/>
          </a:endParaRPr>
        </a:p>
        <a:p>
          <a:pPr algn="l" rtl="0">
            <a:defRPr sz="1000"/>
          </a:pPr>
          <a:r>
            <a:rPr lang="pt-BR" sz="900" b="0" i="0" u="none" strike="noStrike" baseline="0">
              <a:solidFill>
                <a:sysClr val="windowText" lastClr="000000"/>
              </a:solidFill>
              <a:latin typeface="Arial"/>
              <a:cs typeface="Arial"/>
            </a:rPr>
            <a:t>Entidades Integrantes da Rede Leite:</a:t>
          </a:r>
        </a:p>
        <a:p>
          <a:pPr algn="l" rtl="0">
            <a:defRPr sz="1000"/>
          </a:pPr>
          <a:endParaRPr lang="pt-BR" sz="600" b="0" i="0" u="none" strike="noStrike" baseline="0">
            <a:solidFill>
              <a:sysClr val="windowText" lastClr="000000"/>
            </a:solidFill>
            <a:latin typeface="Arial"/>
            <a:cs typeface="Arial"/>
          </a:endParaRPr>
        </a:p>
        <a:p>
          <a:pPr algn="l" rtl="0">
            <a:defRPr sz="1000"/>
          </a:pPr>
          <a:endParaRPr lang="pt-BR" sz="600" b="0" i="0" u="none" strike="noStrike" baseline="0">
            <a:solidFill>
              <a:sysClr val="windowText" lastClr="000000"/>
            </a:solidFill>
            <a:latin typeface="Arial"/>
            <a:cs typeface="Arial"/>
          </a:endParaRPr>
        </a:p>
        <a:p>
          <a:pPr algn="l" rtl="0">
            <a:defRPr sz="1000"/>
          </a:pPr>
          <a:endParaRPr lang="pt-BR" sz="600" b="0" i="0" u="none" strike="noStrike" baseline="0">
            <a:solidFill>
              <a:sysClr val="windowText" lastClr="000000"/>
            </a:solidFill>
            <a:latin typeface="Arial"/>
            <a:cs typeface="Arial"/>
          </a:endParaRPr>
        </a:p>
        <a:p>
          <a:pPr algn="l" rtl="0">
            <a:defRPr sz="1000"/>
          </a:pPr>
          <a:endParaRPr lang="pt-BR" sz="600" b="0" i="0" u="none" strike="noStrike" baseline="0">
            <a:solidFill>
              <a:sysClr val="windowText" lastClr="000000"/>
            </a:solidFill>
            <a:latin typeface="Arial"/>
            <a:cs typeface="Arial"/>
          </a:endParaRPr>
        </a:p>
        <a:p>
          <a:pPr algn="l" rtl="0">
            <a:defRPr sz="1000"/>
          </a:pPr>
          <a:endParaRPr lang="pt-BR" sz="600" b="0" i="0" u="none" strike="noStrike" baseline="0">
            <a:solidFill>
              <a:sysClr val="windowText" lastClr="000000"/>
            </a:solidFill>
            <a:latin typeface="Arial"/>
            <a:cs typeface="Arial"/>
          </a:endParaRPr>
        </a:p>
        <a:p>
          <a:pPr algn="l" rtl="0">
            <a:defRPr sz="1000"/>
          </a:pPr>
          <a:endParaRPr lang="pt-BR" sz="600" b="0" i="0" u="none" strike="noStrike" baseline="0">
            <a:solidFill>
              <a:sysClr val="windowText" lastClr="000000"/>
            </a:solidFill>
            <a:latin typeface="Arial"/>
            <a:cs typeface="Arial"/>
          </a:endParaRPr>
        </a:p>
        <a:p>
          <a:pPr algn="l" rtl="0">
            <a:defRPr sz="1000"/>
          </a:pPr>
          <a:endParaRPr lang="pt-BR" sz="600" b="0" i="0" u="none" strike="noStrike" baseline="0">
            <a:solidFill>
              <a:sysClr val="windowText" lastClr="000000"/>
            </a:solidFill>
            <a:latin typeface="Arial"/>
            <a:cs typeface="Arial"/>
          </a:endParaRPr>
        </a:p>
        <a:p>
          <a:pPr algn="l" rtl="0">
            <a:defRPr sz="1000"/>
          </a:pPr>
          <a:r>
            <a:rPr lang="pt-BR" sz="900" b="0" i="1" baseline="0">
              <a:effectLst/>
              <a:latin typeface="Arial" pitchFamily="34" charset="0"/>
              <a:ea typeface="+mn-ea"/>
              <a:cs typeface="Arial" pitchFamily="34" charset="0"/>
            </a:rPr>
            <a:t>http://www.programaredeleite.com.br</a:t>
          </a:r>
          <a:r>
            <a:rPr lang="pt-BR" sz="900" b="0" i="0" baseline="0">
              <a:effectLst/>
              <a:latin typeface="+mn-lt"/>
              <a:ea typeface="+mn-ea"/>
              <a:cs typeface="+mn-cs"/>
            </a:rPr>
            <a:t>/</a:t>
          </a:r>
          <a:r>
            <a:rPr lang="pt-BR" sz="600" b="0" i="0" u="none" strike="noStrike" baseline="0">
              <a:solidFill>
                <a:sysClr val="windowText" lastClr="000000"/>
              </a:solidFill>
              <a:latin typeface="Arial"/>
              <a:cs typeface="Arial"/>
            </a:rPr>
            <a:t>						</a:t>
          </a:r>
        </a:p>
        <a:p>
          <a:pPr algn="l" rtl="0">
            <a:defRPr sz="1000"/>
          </a:pPr>
          <a:r>
            <a:rPr lang="pt-BR" sz="600" b="0" i="0" u="none" strike="noStrike" baseline="0">
              <a:solidFill>
                <a:sysClr val="windowText" lastClr="000000"/>
              </a:solidFill>
              <a:latin typeface="Arial"/>
              <a:cs typeface="Arial"/>
            </a:rPr>
            <a:t>							</a:t>
          </a:r>
        </a:p>
      </xdr:txBody>
    </xdr:sp>
    <xdr:clientData/>
  </xdr:twoCellAnchor>
  <xdr:twoCellAnchor>
    <xdr:from>
      <xdr:col>0</xdr:col>
      <xdr:colOff>454024</xdr:colOff>
      <xdr:row>14</xdr:row>
      <xdr:rowOff>49212</xdr:rowOff>
    </xdr:from>
    <xdr:to>
      <xdr:col>14</xdr:col>
      <xdr:colOff>152399</xdr:colOff>
      <xdr:row>16</xdr:row>
      <xdr:rowOff>134937</xdr:rowOff>
    </xdr:to>
    <xdr:grpSp>
      <xdr:nvGrpSpPr>
        <xdr:cNvPr id="15281762" name="Grupo 16"/>
        <xdr:cNvGrpSpPr>
          <a:grpSpLocks/>
        </xdr:cNvGrpSpPr>
      </xdr:nvGrpSpPr>
      <xdr:grpSpPr bwMode="auto">
        <a:xfrm>
          <a:off x="454024" y="2271712"/>
          <a:ext cx="7921625" cy="403225"/>
          <a:chOff x="112001" y="1990396"/>
          <a:chExt cx="7094154" cy="328450"/>
        </a:xfrm>
      </xdr:grpSpPr>
      <xdr:pic>
        <xdr:nvPicPr>
          <xdr:cNvPr id="15281763" name="Picture 6" descr="Emater/RS-Ascar lança edital para processo seletiv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78" t="33153" r="6351" b="29343"/>
          <a:stretch>
            <a:fillRect/>
          </a:stretch>
        </xdr:blipFill>
        <xdr:spPr bwMode="auto">
          <a:xfrm>
            <a:off x="112001" y="2051162"/>
            <a:ext cx="781839" cy="20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281764" name="Picture 14" descr="http://w3.ufsm.br/seminariofiloescola/images/Brasao_UFSM_Color_300dpi.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328" y="1992042"/>
            <a:ext cx="328120" cy="324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281765" name="Picture 12" descr="http://imprensams.com.br/cms/images/destaques/44b85238cbbb662c8cbf850331a7a1a2.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90775" y="2024886"/>
            <a:ext cx="541284" cy="2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281766" name="Picture 8" descr="http://www.unicruz.edu.br/site/download.php?arquivosId=153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26500" y="2005180"/>
            <a:ext cx="446363" cy="280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281767" name="Picture 10" descr="http://jovemaprendiz.net.br/images/jovem_aprendiz_unijui_2014.pn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535948" y="2011749"/>
            <a:ext cx="613478" cy="307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281768" name="Imagem 11" descr="Instituto Federal Farroupila - Campus Santo Augusto"/>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092466" y="2023242"/>
            <a:ext cx="562407" cy="216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281769" name="Imagem 12"/>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834760" y="2049517"/>
            <a:ext cx="614859" cy="170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281770" name="Imagem 13"/>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669019" y="2042948"/>
            <a:ext cx="814550" cy="169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281771" name="Imagem 14"/>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621519" y="1990396"/>
            <a:ext cx="584636" cy="284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15</xdr:col>
      <xdr:colOff>269875</xdr:colOff>
      <xdr:row>1</xdr:row>
      <xdr:rowOff>7937</xdr:rowOff>
    </xdr:from>
    <xdr:to>
      <xdr:col>16</xdr:col>
      <xdr:colOff>424339</xdr:colOff>
      <xdr:row>5</xdr:row>
      <xdr:rowOff>6667</xdr:rowOff>
    </xdr:to>
    <xdr:pic>
      <xdr:nvPicPr>
        <xdr:cNvPr id="13" name="Imagem 12" descr="Rede Leite realiza I Fórum Técnico na próxima quarta-feira - Unijuí"/>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080500" y="166687"/>
          <a:ext cx="741839" cy="633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150814</xdr:colOff>
      <xdr:row>1</xdr:row>
      <xdr:rowOff>23811</xdr:rowOff>
    </xdr:from>
    <xdr:to>
      <xdr:col>4</xdr:col>
      <xdr:colOff>302103</xdr:colOff>
      <xdr:row>4</xdr:row>
      <xdr:rowOff>28891</xdr:rowOff>
    </xdr:to>
    <xdr:pic>
      <xdr:nvPicPr>
        <xdr:cNvPr id="3" name="Imagem 2" descr="Rede Leite realiza I Fórum Técnico na próxima quarta-feira - Unijuí"/>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0939" y="198436"/>
          <a:ext cx="738664" cy="64008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258855</xdr:colOff>
      <xdr:row>56</xdr:row>
      <xdr:rowOff>123824</xdr:rowOff>
    </xdr:from>
    <xdr:to>
      <xdr:col>6</xdr:col>
      <xdr:colOff>1163730</xdr:colOff>
      <xdr:row>132</xdr:row>
      <xdr:rowOff>133349</xdr:rowOff>
    </xdr:to>
    <xdr:graphicFrame macro="">
      <xdr:nvGraphicFramePr>
        <xdr:cNvPr id="15778928"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66675</xdr:colOff>
      <xdr:row>51</xdr:row>
      <xdr:rowOff>0</xdr:rowOff>
    </xdr:from>
    <xdr:to>
      <xdr:col>12</xdr:col>
      <xdr:colOff>19050</xdr:colOff>
      <xdr:row>56</xdr:row>
      <xdr:rowOff>9525</xdr:rowOff>
    </xdr:to>
    <xdr:graphicFrame macro="">
      <xdr:nvGraphicFramePr>
        <xdr:cNvPr id="15778929"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1304925</xdr:colOff>
      <xdr:row>56</xdr:row>
      <xdr:rowOff>114300</xdr:rowOff>
    </xdr:from>
    <xdr:to>
      <xdr:col>13</xdr:col>
      <xdr:colOff>38100</xdr:colOff>
      <xdr:row>132</xdr:row>
      <xdr:rowOff>76200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13</xdr:col>
      <xdr:colOff>57150</xdr:colOff>
      <xdr:row>1</xdr:row>
      <xdr:rowOff>19050</xdr:rowOff>
    </xdr:from>
    <xdr:to>
      <xdr:col>14</xdr:col>
      <xdr:colOff>510064</xdr:colOff>
      <xdr:row>3</xdr:row>
      <xdr:rowOff>316230</xdr:rowOff>
    </xdr:to>
    <xdr:pic>
      <xdr:nvPicPr>
        <xdr:cNvPr id="6" name="Imagem 5" descr="Rede Leite realiza I Fórum Técnico na próxima quarta-feira - Unijuí"/>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53575" y="85725"/>
          <a:ext cx="738664" cy="64008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123825</xdr:colOff>
      <xdr:row>0</xdr:row>
      <xdr:rowOff>76200</xdr:rowOff>
    </xdr:from>
    <xdr:to>
      <xdr:col>10</xdr:col>
      <xdr:colOff>103664</xdr:colOff>
      <xdr:row>4</xdr:row>
      <xdr:rowOff>24130</xdr:rowOff>
    </xdr:to>
    <xdr:pic>
      <xdr:nvPicPr>
        <xdr:cNvPr id="2" name="Imagem 1" descr="Rede Leite realiza I Fórum Técnico na próxima quarta-feira - Unijuí"/>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8600" y="76200"/>
          <a:ext cx="741839" cy="63373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341168</xdr:colOff>
      <xdr:row>33</xdr:row>
      <xdr:rowOff>34637</xdr:rowOff>
    </xdr:from>
    <xdr:to>
      <xdr:col>15</xdr:col>
      <xdr:colOff>303068</xdr:colOff>
      <xdr:row>56</xdr:row>
      <xdr:rowOff>27107</xdr:rowOff>
    </xdr:to>
    <xdr:graphicFrame macro="">
      <xdr:nvGraphicFramePr>
        <xdr:cNvPr id="613817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39</xdr:row>
      <xdr:rowOff>99390</xdr:rowOff>
    </xdr:from>
    <xdr:to>
      <xdr:col>1</xdr:col>
      <xdr:colOff>2435088</xdr:colOff>
      <xdr:row>47</xdr:row>
      <xdr:rowOff>82825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16</xdr:col>
      <xdr:colOff>114300</xdr:colOff>
      <xdr:row>1</xdr:row>
      <xdr:rowOff>28575</xdr:rowOff>
    </xdr:from>
    <xdr:to>
      <xdr:col>17</xdr:col>
      <xdr:colOff>94139</xdr:colOff>
      <xdr:row>4</xdr:row>
      <xdr:rowOff>24130</xdr:rowOff>
    </xdr:to>
    <xdr:pic>
      <xdr:nvPicPr>
        <xdr:cNvPr id="4" name="Imagem 3" descr="Rede Leite realiza I Fórum Técnico na próxima quarta-feira - Unijuí"/>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20275" y="104775"/>
          <a:ext cx="741839" cy="63373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152400</xdr:colOff>
      <xdr:row>22</xdr:row>
      <xdr:rowOff>190501</xdr:rowOff>
    </xdr:from>
    <xdr:to>
      <xdr:col>13</xdr:col>
      <xdr:colOff>2042432</xdr:colOff>
      <xdr:row>42</xdr:row>
      <xdr:rowOff>224519</xdr:rowOff>
    </xdr:to>
    <xdr:graphicFrame macro="">
      <xdr:nvGraphicFramePr>
        <xdr:cNvPr id="1647721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220436</xdr:colOff>
      <xdr:row>44</xdr:row>
      <xdr:rowOff>176893</xdr:rowOff>
    </xdr:from>
    <xdr:to>
      <xdr:col>13</xdr:col>
      <xdr:colOff>2100943</xdr:colOff>
      <xdr:row>60</xdr:row>
      <xdr:rowOff>43543</xdr:rowOff>
    </xdr:to>
    <xdr:graphicFrame macro="">
      <xdr:nvGraphicFramePr>
        <xdr:cNvPr id="16477215"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108857</xdr:colOff>
      <xdr:row>63</xdr:row>
      <xdr:rowOff>176894</xdr:rowOff>
    </xdr:from>
    <xdr:to>
      <xdr:col>14</xdr:col>
      <xdr:colOff>249011</xdr:colOff>
      <xdr:row>76</xdr:row>
      <xdr:rowOff>151041</xdr:rowOff>
    </xdr:to>
    <xdr:graphicFrame macro="">
      <xdr:nvGraphicFramePr>
        <xdr:cNvPr id="16477216"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100853</xdr:colOff>
      <xdr:row>1</xdr:row>
      <xdr:rowOff>33617</xdr:rowOff>
    </xdr:from>
    <xdr:to>
      <xdr:col>12</xdr:col>
      <xdr:colOff>13457</xdr:colOff>
      <xdr:row>3</xdr:row>
      <xdr:rowOff>319965</xdr:rowOff>
    </xdr:to>
    <xdr:pic>
      <xdr:nvPicPr>
        <xdr:cNvPr id="5" name="Imagem 4" descr="Rede Leite realiza I Fórum Técnico na próxima quarta-feira - Unijuí"/>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917706" y="145676"/>
          <a:ext cx="741839" cy="63373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114300</xdr:colOff>
      <xdr:row>1</xdr:row>
      <xdr:rowOff>0</xdr:rowOff>
    </xdr:from>
    <xdr:to>
      <xdr:col>7</xdr:col>
      <xdr:colOff>84614</xdr:colOff>
      <xdr:row>3</xdr:row>
      <xdr:rowOff>281305</xdr:rowOff>
    </xdr:to>
    <xdr:pic>
      <xdr:nvPicPr>
        <xdr:cNvPr id="2" name="Imagem 1" descr="Rede Leite realiza I Fórum Técnico na próxima quarta-feira - Unijuí"/>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3725" y="200025"/>
          <a:ext cx="741839" cy="63373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542925</xdr:colOff>
      <xdr:row>34</xdr:row>
      <xdr:rowOff>114301</xdr:rowOff>
    </xdr:from>
    <xdr:to>
      <xdr:col>5</xdr:col>
      <xdr:colOff>666750</xdr:colOff>
      <xdr:row>36</xdr:row>
      <xdr:rowOff>114301</xdr:rowOff>
    </xdr:to>
    <xdr:sp macro="" textlink="">
      <xdr:nvSpPr>
        <xdr:cNvPr id="2" name="Seta para baixo 1"/>
        <xdr:cNvSpPr/>
      </xdr:nvSpPr>
      <xdr:spPr bwMode="auto">
        <a:xfrm>
          <a:off x="3714750" y="7686676"/>
          <a:ext cx="2895600" cy="628650"/>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pt-BR" sz="1100"/>
        </a:p>
      </xdr:txBody>
    </xdr:sp>
    <xdr:clientData/>
  </xdr:twoCellAnchor>
  <xdr:twoCellAnchor editAs="oneCell">
    <xdr:from>
      <xdr:col>16</xdr:col>
      <xdr:colOff>152400</xdr:colOff>
      <xdr:row>0</xdr:row>
      <xdr:rowOff>161925</xdr:rowOff>
    </xdr:from>
    <xdr:to>
      <xdr:col>16</xdr:col>
      <xdr:colOff>894239</xdr:colOff>
      <xdr:row>4</xdr:row>
      <xdr:rowOff>52705</xdr:rowOff>
    </xdr:to>
    <xdr:pic>
      <xdr:nvPicPr>
        <xdr:cNvPr id="3" name="Imagem 2" descr="Rede Leite realiza I Fórum Técnico na próxima quarta-feira - Unijuí"/>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87125" y="161925"/>
          <a:ext cx="741839" cy="63373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276225</xdr:colOff>
      <xdr:row>141</xdr:row>
      <xdr:rowOff>0</xdr:rowOff>
    </xdr:from>
    <xdr:to>
      <xdr:col>5</xdr:col>
      <xdr:colOff>466725</xdr:colOff>
      <xdr:row>142</xdr:row>
      <xdr:rowOff>190500</xdr:rowOff>
    </xdr:to>
    <xdr:sp macro="" textlink="">
      <xdr:nvSpPr>
        <xdr:cNvPr id="11668029" name="AutoShape 5"/>
        <xdr:cNvSpPr>
          <a:spLocks noChangeArrowheads="1"/>
        </xdr:cNvSpPr>
      </xdr:nvSpPr>
      <xdr:spPr bwMode="auto">
        <a:xfrm>
          <a:off x="5419725" y="25879425"/>
          <a:ext cx="190500" cy="381000"/>
        </a:xfrm>
        <a:prstGeom prst="downArrow">
          <a:avLst>
            <a:gd name="adj1" fmla="val 50000"/>
            <a:gd name="adj2" fmla="val 50000"/>
          </a:avLst>
        </a:prstGeom>
        <a:solidFill>
          <a:srgbClr val="FF0000"/>
        </a:solidFill>
        <a:ln w="9525">
          <a:solidFill>
            <a:srgbClr val="000000"/>
          </a:solidFill>
          <a:miter lim="800000"/>
          <a:headEnd/>
          <a:tailEnd/>
        </a:ln>
      </xdr:spPr>
    </xdr:sp>
    <xdr:clientData/>
  </xdr:twoCellAnchor>
  <xdr:twoCellAnchor>
    <xdr:from>
      <xdr:col>4</xdr:col>
      <xdr:colOff>330835</xdr:colOff>
      <xdr:row>137</xdr:row>
      <xdr:rowOff>113030</xdr:rowOff>
    </xdr:from>
    <xdr:to>
      <xdr:col>6</xdr:col>
      <xdr:colOff>536456</xdr:colOff>
      <xdr:row>140</xdr:row>
      <xdr:rowOff>137777</xdr:rowOff>
    </xdr:to>
    <xdr:sp macro="" textlink="">
      <xdr:nvSpPr>
        <xdr:cNvPr id="6146" name="Text Box 6"/>
        <xdr:cNvSpPr txBox="1">
          <a:spLocks noChangeArrowheads="1"/>
        </xdr:cNvSpPr>
      </xdr:nvSpPr>
      <xdr:spPr bwMode="auto">
        <a:xfrm>
          <a:off x="2990850" y="31384875"/>
          <a:ext cx="2257425" cy="609600"/>
        </a:xfrm>
        <a:prstGeom prst="rect">
          <a:avLst/>
        </a:prstGeom>
        <a:solidFill>
          <a:srgbClr val="FFFFFF"/>
        </a:solidFill>
        <a:ln w="9525">
          <a:solidFill>
            <a:srgbClr val="FF0000"/>
          </a:solidFill>
          <a:miter lim="800000"/>
          <a:headEnd/>
          <a:tailEnd/>
        </a:ln>
      </xdr:spPr>
      <xdr:txBody>
        <a:bodyPr vertOverflow="clip" wrap="square" lIns="27432" tIns="22860" rIns="0" bIns="0" anchor="t" upright="1"/>
        <a:lstStyle/>
        <a:p>
          <a:pPr algn="l" rtl="0">
            <a:defRPr sz="1000"/>
          </a:pPr>
          <a:r>
            <a:rPr lang="pt-BR" sz="900" b="1" i="0" u="none" strike="noStrike" baseline="0">
              <a:solidFill>
                <a:srgbClr val="FF0000"/>
              </a:solidFill>
              <a:latin typeface="Arial"/>
              <a:cs typeface="Arial"/>
            </a:rPr>
            <a:t>verificar se o % de utilização está correto para leite</a:t>
          </a:r>
        </a:p>
      </xdr:txBody>
    </xdr:sp>
    <xdr:clientData/>
  </xdr:twoCellAnchor>
  <xdr:twoCellAnchor editAs="oneCell">
    <xdr:from>
      <xdr:col>8</xdr:col>
      <xdr:colOff>304800</xdr:colOff>
      <xdr:row>63</xdr:row>
      <xdr:rowOff>19050</xdr:rowOff>
    </xdr:from>
    <xdr:to>
      <xdr:col>8</xdr:col>
      <xdr:colOff>390525</xdr:colOff>
      <xdr:row>64</xdr:row>
      <xdr:rowOff>38100</xdr:rowOff>
    </xdr:to>
    <xdr:sp macro="" textlink="">
      <xdr:nvSpPr>
        <xdr:cNvPr id="11668031" name="Text Box 85"/>
        <xdr:cNvSpPr txBox="1">
          <a:spLocks noChangeArrowheads="1"/>
        </xdr:cNvSpPr>
      </xdr:nvSpPr>
      <xdr:spPr bwMode="auto">
        <a:xfrm>
          <a:off x="9248775" y="110394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133350</xdr:colOff>
      <xdr:row>1</xdr:row>
      <xdr:rowOff>0</xdr:rowOff>
    </xdr:from>
    <xdr:to>
      <xdr:col>16</xdr:col>
      <xdr:colOff>475139</xdr:colOff>
      <xdr:row>3</xdr:row>
      <xdr:rowOff>281305</xdr:rowOff>
    </xdr:to>
    <xdr:pic>
      <xdr:nvPicPr>
        <xdr:cNvPr id="5" name="Imagem 4" descr="Rede Leite realiza I Fórum Técnico na próxima quarta-feira - Unijuí"/>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96600" y="76200"/>
          <a:ext cx="741839" cy="63373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142875</xdr:colOff>
      <xdr:row>0</xdr:row>
      <xdr:rowOff>76200</xdr:rowOff>
    </xdr:from>
    <xdr:to>
      <xdr:col>16</xdr:col>
      <xdr:colOff>122714</xdr:colOff>
      <xdr:row>3</xdr:row>
      <xdr:rowOff>290830</xdr:rowOff>
    </xdr:to>
    <xdr:pic>
      <xdr:nvPicPr>
        <xdr:cNvPr id="2" name="Imagem 1" descr="Rede Leite realiza I Fórum Técnico na próxima quarta-feira - Unijuí"/>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68125" y="76200"/>
          <a:ext cx="741839" cy="63373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219075</xdr:colOff>
      <xdr:row>1</xdr:row>
      <xdr:rowOff>85725</xdr:rowOff>
    </xdr:from>
    <xdr:to>
      <xdr:col>13</xdr:col>
      <xdr:colOff>960914</xdr:colOff>
      <xdr:row>3</xdr:row>
      <xdr:rowOff>357505</xdr:rowOff>
    </xdr:to>
    <xdr:pic>
      <xdr:nvPicPr>
        <xdr:cNvPr id="2" name="Imagem 1" descr="Rede Leite realiza I Fórum Técnico na próxima quarta-feira - Unijuí"/>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11275" y="200025"/>
          <a:ext cx="741839" cy="63373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55560</xdr:colOff>
      <xdr:row>0</xdr:row>
      <xdr:rowOff>31750</xdr:rowOff>
    </xdr:from>
    <xdr:to>
      <xdr:col>1</xdr:col>
      <xdr:colOff>388935</xdr:colOff>
      <xdr:row>0</xdr:row>
      <xdr:rowOff>316542</xdr:rowOff>
    </xdr:to>
    <xdr:pic>
      <xdr:nvPicPr>
        <xdr:cNvPr id="2" name="Imagem 1" descr="Rede Leite realiza I Fórum Técnico na próxima quarta-feira - Unijuí"/>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373" y="31750"/>
          <a:ext cx="333375" cy="284792"/>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76200</xdr:colOff>
      <xdr:row>21</xdr:row>
      <xdr:rowOff>123826</xdr:rowOff>
    </xdr:from>
    <xdr:to>
      <xdr:col>6</xdr:col>
      <xdr:colOff>200025</xdr:colOff>
      <xdr:row>36</xdr:row>
      <xdr:rowOff>38101</xdr:rowOff>
    </xdr:to>
    <xdr:graphicFrame macro="">
      <xdr:nvGraphicFramePr>
        <xdr:cNvPr id="1558149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209550</xdr:colOff>
      <xdr:row>33</xdr:row>
      <xdr:rowOff>76200</xdr:rowOff>
    </xdr:from>
    <xdr:to>
      <xdr:col>10</xdr:col>
      <xdr:colOff>19050</xdr:colOff>
      <xdr:row>38</xdr:row>
      <xdr:rowOff>152400</xdr:rowOff>
    </xdr:to>
    <xdr:graphicFrame macro="">
      <xdr:nvGraphicFramePr>
        <xdr:cNvPr id="15581498"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200025</xdr:colOff>
      <xdr:row>38</xdr:row>
      <xdr:rowOff>161925</xdr:rowOff>
    </xdr:from>
    <xdr:to>
      <xdr:col>10</xdr:col>
      <xdr:colOff>28575</xdr:colOff>
      <xdr:row>47</xdr:row>
      <xdr:rowOff>85725</xdr:rowOff>
    </xdr:to>
    <xdr:graphicFrame macro="">
      <xdr:nvGraphicFramePr>
        <xdr:cNvPr id="15581499"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447675</xdr:colOff>
      <xdr:row>4</xdr:row>
      <xdr:rowOff>142875</xdr:rowOff>
    </xdr:from>
    <xdr:to>
      <xdr:col>10</xdr:col>
      <xdr:colOff>19050</xdr:colOff>
      <xdr:row>21</xdr:row>
      <xdr:rowOff>133350</xdr:rowOff>
    </xdr:to>
    <xdr:graphicFrame macro="">
      <xdr:nvGraphicFramePr>
        <xdr:cNvPr id="15581500"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209550</xdr:colOff>
      <xdr:row>47</xdr:row>
      <xdr:rowOff>95250</xdr:rowOff>
    </xdr:from>
    <xdr:to>
      <xdr:col>10</xdr:col>
      <xdr:colOff>47625</xdr:colOff>
      <xdr:row>57</xdr:row>
      <xdr:rowOff>95250</xdr:rowOff>
    </xdr:to>
    <xdr:graphicFrame macro="">
      <xdr:nvGraphicFramePr>
        <xdr:cNvPr id="15581501"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209549</xdr:colOff>
      <xdr:row>21</xdr:row>
      <xdr:rowOff>139701</xdr:rowOff>
    </xdr:from>
    <xdr:to>
      <xdr:col>10</xdr:col>
      <xdr:colOff>19049</xdr:colOff>
      <xdr:row>33</xdr:row>
      <xdr:rowOff>101601</xdr:rowOff>
    </xdr:to>
    <xdr:graphicFrame macro="">
      <xdr:nvGraphicFramePr>
        <xdr:cNvPr id="15581502"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85725</xdr:colOff>
      <xdr:row>4</xdr:row>
      <xdr:rowOff>133350</xdr:rowOff>
    </xdr:from>
    <xdr:to>
      <xdr:col>5</xdr:col>
      <xdr:colOff>447675</xdr:colOff>
      <xdr:row>19</xdr:row>
      <xdr:rowOff>57150</xdr:rowOff>
    </xdr:to>
    <xdr:graphicFrame macro="">
      <xdr:nvGraphicFramePr>
        <xdr:cNvPr id="1558150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47625</xdr:colOff>
      <xdr:row>1</xdr:row>
      <xdr:rowOff>23813</xdr:rowOff>
    </xdr:from>
    <xdr:to>
      <xdr:col>3</xdr:col>
      <xdr:colOff>87312</xdr:colOff>
      <xdr:row>1</xdr:row>
      <xdr:rowOff>308605</xdr:rowOff>
    </xdr:to>
    <xdr:pic>
      <xdr:nvPicPr>
        <xdr:cNvPr id="10" name="Imagem 9" descr="Rede Leite realiza I Fórum Técnico na próxima quarta-feira - Unijuí"/>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28625" y="182563"/>
          <a:ext cx="333375" cy="284792"/>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466725</xdr:colOff>
      <xdr:row>39</xdr:row>
      <xdr:rowOff>0</xdr:rowOff>
    </xdr:from>
    <xdr:to>
      <xdr:col>2</xdr:col>
      <xdr:colOff>1962150</xdr:colOff>
      <xdr:row>62</xdr:row>
      <xdr:rowOff>66675</xdr:rowOff>
    </xdr:to>
    <xdr:sp macro="" textlink="">
      <xdr:nvSpPr>
        <xdr:cNvPr id="560130" name="Text Box 2"/>
        <xdr:cNvSpPr txBox="1">
          <a:spLocks noChangeArrowheads="1"/>
        </xdr:cNvSpPr>
      </xdr:nvSpPr>
      <xdr:spPr bwMode="auto">
        <a:xfrm>
          <a:off x="466725" y="7448550"/>
          <a:ext cx="6162675" cy="3790950"/>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pt-BR" sz="1000" b="0" i="0" u="none" strike="noStrike" baseline="0">
              <a:solidFill>
                <a:srgbClr val="000000"/>
              </a:solidFill>
              <a:latin typeface="Arial"/>
              <a:cs typeface="Arial"/>
            </a:rPr>
            <a:t> </a:t>
          </a:r>
          <a:r>
            <a:rPr lang="pt-BR" sz="1200" b="1" i="0" u="none" strike="noStrike" baseline="0">
              <a:solidFill>
                <a:srgbClr val="000000"/>
              </a:solidFill>
              <a:latin typeface="Arial"/>
              <a:cs typeface="Arial"/>
            </a:rPr>
            <a:t>notas:</a:t>
          </a:r>
          <a:endParaRPr lang="pt-BR" sz="1000" b="0" i="0" u="none" strike="noStrike" baseline="0">
            <a:solidFill>
              <a:srgbClr val="000000"/>
            </a:solidFill>
            <a:latin typeface="Arial"/>
            <a:cs typeface="Arial"/>
          </a:endParaRPr>
        </a:p>
        <a:p>
          <a:pPr algn="l" rtl="0">
            <a:defRPr sz="1000"/>
          </a:pPr>
          <a:r>
            <a:rPr lang="pt-BR" sz="1000" b="0" i="0" u="none" strike="noStrike" baseline="0">
              <a:solidFill>
                <a:srgbClr val="000000"/>
              </a:solidFill>
              <a:latin typeface="Arial"/>
              <a:cs typeface="Arial"/>
            </a:rPr>
            <a:t>1 - Produção vendida, consumida como alimentos pela família, utilizada na alimentação de terneiras e processada(derivados)</a:t>
          </a:r>
        </a:p>
        <a:p>
          <a:pPr algn="l" rtl="0">
            <a:defRPr sz="1000"/>
          </a:pPr>
          <a:endParaRPr lang="pt-BR" sz="1000" b="0" i="0" u="none" strike="noStrike" baseline="0">
            <a:solidFill>
              <a:srgbClr val="000000"/>
            </a:solidFill>
            <a:latin typeface="Arial"/>
            <a:cs typeface="Arial"/>
          </a:endParaRPr>
        </a:p>
        <a:p>
          <a:pPr algn="l" rtl="0">
            <a:defRPr sz="1000"/>
          </a:pPr>
          <a:r>
            <a:rPr lang="pt-BR" sz="1000" b="0" i="0" u="none" strike="noStrike" baseline="0">
              <a:solidFill>
                <a:srgbClr val="000000"/>
              </a:solidFill>
              <a:latin typeface="Arial"/>
              <a:cs typeface="Arial"/>
            </a:rPr>
            <a:t>2 - produção total  dividida pelo numero médio de vacas total manejadas no ano(vacas secas e em lactação)</a:t>
          </a:r>
        </a:p>
        <a:p>
          <a:pPr algn="l" rtl="0">
            <a:defRPr sz="1000"/>
          </a:pPr>
          <a:endParaRPr lang="pt-BR" sz="1000" b="0" i="0" u="none" strike="noStrike" baseline="0">
            <a:solidFill>
              <a:srgbClr val="000000"/>
            </a:solidFill>
            <a:latin typeface="Arial"/>
            <a:cs typeface="Arial"/>
          </a:endParaRPr>
        </a:p>
        <a:p>
          <a:pPr algn="l" rtl="0">
            <a:defRPr sz="1000"/>
          </a:pPr>
          <a:r>
            <a:rPr lang="pt-BR" sz="1000" b="0" i="0" u="none" strike="noStrike" baseline="0">
              <a:solidFill>
                <a:srgbClr val="000000"/>
              </a:solidFill>
              <a:latin typeface="Arial"/>
              <a:cs typeface="Arial"/>
            </a:rPr>
            <a:t>3 - Produção total, dividida pelo numero médio de vacas total manejadas no ano, dividida po 365 dias.</a:t>
          </a:r>
        </a:p>
        <a:p>
          <a:pPr algn="l" rtl="0">
            <a:defRPr sz="1000"/>
          </a:pPr>
          <a:endParaRPr lang="pt-BR" sz="1000" b="0" i="0" u="none" strike="noStrike" baseline="0">
            <a:solidFill>
              <a:srgbClr val="000000"/>
            </a:solidFill>
            <a:latin typeface="Arial"/>
            <a:cs typeface="Arial"/>
          </a:endParaRPr>
        </a:p>
        <a:p>
          <a:pPr algn="l" rtl="0">
            <a:defRPr sz="1000"/>
          </a:pPr>
          <a:r>
            <a:rPr lang="pt-BR" sz="1000" b="0" i="0" u="none" strike="noStrike" baseline="0">
              <a:solidFill>
                <a:srgbClr val="000000"/>
              </a:solidFill>
              <a:latin typeface="Arial"/>
              <a:cs typeface="Arial"/>
            </a:rPr>
            <a:t>4- Produção total, dividida pela média de vacas em lactação, dividida por 365.</a:t>
          </a:r>
        </a:p>
        <a:p>
          <a:pPr algn="l" rtl="0">
            <a:defRPr sz="1000"/>
          </a:pPr>
          <a:endParaRPr lang="pt-BR" sz="1000" b="0" i="0" u="none" strike="noStrike" baseline="0">
            <a:solidFill>
              <a:srgbClr val="000000"/>
            </a:solidFill>
            <a:latin typeface="Arial"/>
            <a:cs typeface="Arial"/>
          </a:endParaRPr>
        </a:p>
        <a:p>
          <a:pPr algn="l" rtl="0">
            <a:defRPr sz="1000"/>
          </a:pPr>
          <a:r>
            <a:rPr lang="pt-BR" sz="1000" b="0" i="0" u="none" strike="noStrike" baseline="0">
              <a:solidFill>
                <a:srgbClr val="000000"/>
              </a:solidFill>
              <a:latin typeface="Arial"/>
              <a:cs typeface="Arial"/>
            </a:rPr>
            <a:t>5- Consumo de concentrado de todo rebanho (vacas, novilhas, terneiras, terneiros), dividido pelo número médio  de vacas total(secas e lactação), dividido por 365 dias.</a:t>
          </a:r>
        </a:p>
        <a:p>
          <a:pPr algn="l" rtl="0">
            <a:defRPr sz="1000"/>
          </a:pPr>
          <a:endParaRPr lang="pt-BR" sz="1000" b="0" i="0" u="none" strike="noStrike" baseline="0">
            <a:solidFill>
              <a:srgbClr val="000000"/>
            </a:solidFill>
            <a:latin typeface="Arial"/>
            <a:cs typeface="Arial"/>
          </a:endParaRPr>
        </a:p>
        <a:p>
          <a:pPr algn="l" rtl="0">
            <a:defRPr sz="1000"/>
          </a:pPr>
          <a:r>
            <a:rPr lang="pt-BR" sz="1000" b="0" i="0" u="none" strike="noStrike" baseline="0">
              <a:solidFill>
                <a:srgbClr val="000000"/>
              </a:solidFill>
              <a:latin typeface="Arial"/>
              <a:cs typeface="Arial"/>
            </a:rPr>
            <a:t>6-Consumo de concentrado de todo rebanho (vacas, novilhas, terneiras, terneiros), dividido pelo número médio  de vacas em lactação, dividido por 365 dias.</a:t>
          </a:r>
        </a:p>
        <a:p>
          <a:pPr algn="l" rtl="0">
            <a:defRPr sz="1000"/>
          </a:pPr>
          <a:endParaRPr lang="pt-BR" sz="1000" b="0" i="0" u="none" strike="noStrike" baseline="0">
            <a:solidFill>
              <a:srgbClr val="000000"/>
            </a:solidFill>
            <a:latin typeface="Arial"/>
            <a:cs typeface="Arial"/>
          </a:endParaRPr>
        </a:p>
        <a:p>
          <a:pPr algn="l" rtl="0">
            <a:defRPr sz="1000"/>
          </a:pPr>
          <a:r>
            <a:rPr lang="pt-BR" sz="1000" b="0" i="0" u="none" strike="noStrike" baseline="0">
              <a:solidFill>
                <a:srgbClr val="000000"/>
              </a:solidFill>
              <a:latin typeface="Arial"/>
              <a:cs typeface="Arial"/>
            </a:rPr>
            <a:t>7-Consumo de concentrado de todo rebanho (vacas, novilhas, terneiras, terneiros), dividido pela produção total.</a:t>
          </a:r>
        </a:p>
        <a:p>
          <a:pPr algn="l" rtl="0">
            <a:defRPr sz="1000"/>
          </a:pPr>
          <a:endParaRPr lang="pt-BR" sz="1000" b="0" i="0" u="none" strike="noStrike" baseline="0">
            <a:solidFill>
              <a:srgbClr val="000000"/>
            </a:solidFill>
            <a:latin typeface="Arial"/>
            <a:cs typeface="Arial"/>
          </a:endParaRPr>
        </a:p>
        <a:p>
          <a:pPr algn="l" rtl="0">
            <a:defRPr sz="1000"/>
          </a:pPr>
          <a:r>
            <a:rPr lang="pt-BR" sz="1000" b="0" i="0" u="none" strike="noStrike" baseline="0">
              <a:solidFill>
                <a:srgbClr val="000000"/>
              </a:solidFill>
              <a:latin typeface="Arial"/>
              <a:cs typeface="Arial"/>
            </a:rPr>
            <a:t>8 - Produção  por vaca lactação que exceder a 10 litros, dividido pelo consumo de concentrado de vacas em lactação.(consumo de concentrado por vaca lactação considera o consumo de concentrado de todo rebanho , dividido pelas madia de vacas em lactação).</a:t>
          </a:r>
        </a:p>
        <a:p>
          <a:pPr algn="l" rtl="0">
            <a:defRPr sz="1000"/>
          </a:pPr>
          <a:r>
            <a:rPr lang="pt-BR" sz="1000" b="0" i="0" u="none" strike="noStrike" baseline="0">
              <a:solidFill>
                <a:srgbClr val="000000"/>
              </a:solidFill>
              <a:latin typeface="Arial"/>
              <a:cs typeface="Arial"/>
            </a:rPr>
            <a:t>9- Consumo de silagem das vacas em lactação, dividido pela média de vacas em lactação, dividido por 365.</a:t>
          </a:r>
        </a:p>
        <a:p>
          <a:pPr algn="l" rtl="0">
            <a:defRPr sz="1000"/>
          </a:pPr>
          <a:endParaRPr lang="pt-BR" sz="1000" b="0" i="0" u="none" strike="noStrike" baseline="0">
            <a:solidFill>
              <a:srgbClr val="000000"/>
            </a:solidFill>
            <a:latin typeface="Arial"/>
            <a:cs typeface="Arial"/>
          </a:endParaRPr>
        </a:p>
        <a:p>
          <a:pPr algn="l" rtl="0">
            <a:defRPr sz="1000"/>
          </a:pPr>
          <a:endParaRPr lang="pt-BR" sz="1000" b="0" i="0" u="none" strike="noStrike" baseline="0">
            <a:solidFill>
              <a:srgbClr val="000000"/>
            </a:solidFill>
            <a:latin typeface="Arial"/>
            <a:cs typeface="Arial"/>
          </a:endParaRPr>
        </a:p>
        <a:p>
          <a:pPr algn="l" rtl="0">
            <a:defRPr sz="1000"/>
          </a:pPr>
          <a:endParaRPr lang="pt-BR" sz="1000" b="0" i="0" u="none" strike="noStrike" baseline="0">
            <a:solidFill>
              <a:srgbClr val="000000"/>
            </a:solidFill>
            <a:latin typeface="Arial"/>
            <a:cs typeface="Aria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57150</xdr:colOff>
      <xdr:row>44</xdr:row>
      <xdr:rowOff>0</xdr:rowOff>
    </xdr:from>
    <xdr:to>
      <xdr:col>2</xdr:col>
      <xdr:colOff>19050</xdr:colOff>
      <xdr:row>46</xdr:row>
      <xdr:rowOff>523875</xdr:rowOff>
    </xdr:to>
    <xdr:sp macro="" textlink="">
      <xdr:nvSpPr>
        <xdr:cNvPr id="50410" name="AutoShape 234"/>
        <xdr:cNvSpPr>
          <a:spLocks noChangeArrowheads="1"/>
        </xdr:cNvSpPr>
      </xdr:nvSpPr>
      <xdr:spPr bwMode="auto">
        <a:xfrm>
          <a:off x="666750" y="11696700"/>
          <a:ext cx="800100" cy="1733550"/>
        </a:xfrm>
        <a:prstGeom prst="flowChartProcess">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0" anchor="t" upright="1"/>
        <a:lstStyle/>
        <a:p>
          <a:pPr algn="ctr" rtl="0">
            <a:defRPr sz="1000"/>
          </a:pPr>
          <a:endParaRPr lang="pt-BR" sz="1200" b="1" i="0" u="none" strike="noStrike" baseline="0">
            <a:solidFill>
              <a:srgbClr val="000000"/>
            </a:solidFill>
            <a:latin typeface="Arial"/>
            <a:cs typeface="Arial"/>
          </a:endParaRPr>
        </a:p>
        <a:p>
          <a:pPr algn="ctr" rtl="0">
            <a:defRPr sz="1000"/>
          </a:pPr>
          <a:r>
            <a:rPr lang="pt-BR" sz="1200" b="1" i="0" u="none" strike="noStrike" baseline="0">
              <a:solidFill>
                <a:srgbClr val="000000"/>
              </a:solidFill>
              <a:latin typeface="Arial"/>
              <a:cs typeface="Arial"/>
            </a:rPr>
            <a:t>Os três valores ao lado devem ser iguiais</a:t>
          </a:r>
        </a:p>
      </xdr:txBody>
    </xdr:sp>
    <xdr:clientData/>
  </xdr:twoCellAnchor>
  <xdr:twoCellAnchor>
    <xdr:from>
      <xdr:col>3</xdr:col>
      <xdr:colOff>200025</xdr:colOff>
      <xdr:row>49</xdr:row>
      <xdr:rowOff>66675</xdr:rowOff>
    </xdr:from>
    <xdr:to>
      <xdr:col>3</xdr:col>
      <xdr:colOff>1123950</xdr:colOff>
      <xdr:row>63</xdr:row>
      <xdr:rowOff>123825</xdr:rowOff>
    </xdr:to>
    <xdr:sp macro="" textlink="">
      <xdr:nvSpPr>
        <xdr:cNvPr id="50411" name="AutoShape 235"/>
        <xdr:cNvSpPr>
          <a:spLocks noChangeArrowheads="1"/>
        </xdr:cNvSpPr>
      </xdr:nvSpPr>
      <xdr:spPr bwMode="auto">
        <a:xfrm>
          <a:off x="3895725" y="13906500"/>
          <a:ext cx="923925" cy="7772400"/>
        </a:xfrm>
        <a:prstGeom prst="rightArrow">
          <a:avLst>
            <a:gd name="adj1" fmla="val 50000"/>
            <a:gd name="adj2" fmla="val 25000"/>
          </a:avLst>
        </a:prstGeom>
        <a:solidFill>
          <a:srgbClr xmlns:mc="http://schemas.openxmlformats.org/markup-compatibility/2006" xmlns:a14="http://schemas.microsoft.com/office/drawing/2010/main" val="FFFF99" mc:Ignorable="a14" a14:legacySpreadsheetColorIndex="4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endParaRPr lang="pt-BR" sz="1000" b="1" i="0" u="none" strike="noStrike" baseline="0">
            <a:solidFill>
              <a:srgbClr val="000000"/>
            </a:solidFill>
            <a:latin typeface="Arial"/>
            <a:cs typeface="Arial"/>
          </a:endParaRPr>
        </a:p>
        <a:p>
          <a:pPr algn="ctr" rtl="0">
            <a:defRPr sz="1000"/>
          </a:pPr>
          <a:r>
            <a:rPr lang="pt-BR" sz="1000" b="1" i="0" u="none" strike="noStrike" baseline="0">
              <a:solidFill>
                <a:srgbClr val="FF0000"/>
              </a:solidFill>
              <a:latin typeface="Arial"/>
              <a:cs typeface="Arial"/>
            </a:rPr>
            <a:t>TODOS OS CULTIVOS DEVEM ESTAR CERTO</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228600</xdr:colOff>
      <xdr:row>6</xdr:row>
      <xdr:rowOff>85725</xdr:rowOff>
    </xdr:from>
    <xdr:to>
      <xdr:col>9</xdr:col>
      <xdr:colOff>390525</xdr:colOff>
      <xdr:row>27</xdr:row>
      <xdr:rowOff>133350</xdr:rowOff>
    </xdr:to>
    <xdr:graphicFrame macro="">
      <xdr:nvGraphicFramePr>
        <xdr:cNvPr id="11704251"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180975</xdr:colOff>
      <xdr:row>3</xdr:row>
      <xdr:rowOff>9525</xdr:rowOff>
    </xdr:from>
    <xdr:to>
      <xdr:col>13</xdr:col>
      <xdr:colOff>247650</xdr:colOff>
      <xdr:row>6</xdr:row>
      <xdr:rowOff>28575</xdr:rowOff>
    </xdr:to>
    <xdr:sp macro="" textlink="">
      <xdr:nvSpPr>
        <xdr:cNvPr id="276625" name="Rectangle 145"/>
        <xdr:cNvSpPr>
          <a:spLocks noChangeArrowheads="1"/>
        </xdr:cNvSpPr>
      </xdr:nvSpPr>
      <xdr:spPr bwMode="auto">
        <a:xfrm>
          <a:off x="180975" y="590550"/>
          <a:ext cx="8239125" cy="504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pt-BR" sz="1400" b="1" i="0" u="none" strike="noStrike" baseline="0">
              <a:solidFill>
                <a:srgbClr val="000000"/>
              </a:solidFill>
              <a:latin typeface="Arial"/>
              <a:cs typeface="Arial"/>
            </a:rPr>
            <a:t>DESEMPENHO ECONÔMICO GLOBAL DA UNIDADE DE OBSERVAÇÃO -UO</a:t>
          </a:r>
        </a:p>
        <a:p>
          <a:pPr algn="ctr" rtl="0">
            <a:defRPr sz="1000"/>
          </a:pPr>
          <a:r>
            <a:rPr lang="pt-BR" sz="1200" b="1" i="0" u="none" strike="noStrike" baseline="0">
              <a:solidFill>
                <a:srgbClr val="000000"/>
              </a:solidFill>
              <a:latin typeface="Arial"/>
              <a:cs typeface="Arial"/>
            </a:rPr>
            <a:t>(CONSIDERANDO TODAS AS ATIVIDADES PRODUTIVAS DA UO- ANUAL)</a:t>
          </a:r>
        </a:p>
      </xdr:txBody>
    </xdr:sp>
    <xdr:clientData/>
  </xdr:twoCellAnchor>
  <xdr:twoCellAnchor>
    <xdr:from>
      <xdr:col>0</xdr:col>
      <xdr:colOff>266700</xdr:colOff>
      <xdr:row>28</xdr:row>
      <xdr:rowOff>57150</xdr:rowOff>
    </xdr:from>
    <xdr:to>
      <xdr:col>12</xdr:col>
      <xdr:colOff>990600</xdr:colOff>
      <xdr:row>50</xdr:row>
      <xdr:rowOff>66675</xdr:rowOff>
    </xdr:to>
    <xdr:sp macro="" textlink="">
      <xdr:nvSpPr>
        <xdr:cNvPr id="276626" name="Rectangle 146"/>
        <xdr:cNvSpPr>
          <a:spLocks noChangeArrowheads="1"/>
        </xdr:cNvSpPr>
      </xdr:nvSpPr>
      <xdr:spPr bwMode="auto">
        <a:xfrm>
          <a:off x="266700" y="6400800"/>
          <a:ext cx="7715250" cy="3571875"/>
        </a:xfrm>
        <a:prstGeom prst="rect">
          <a:avLst/>
        </a:prstGeom>
        <a:solidFill>
          <a:srgbClr xmlns:mc="http://schemas.openxmlformats.org/markup-compatibility/2006" xmlns:a14="http://schemas.microsoft.com/office/drawing/2010/main" val="FFFFFF" mc:Ignorable="a14" a14:legacySpreadsheetColorIndex="9"/>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t-BR" sz="1200" b="1" i="0" u="none" strike="noStrike" baseline="0">
              <a:solidFill>
                <a:srgbClr val="FF0000"/>
              </a:solidFill>
              <a:latin typeface="Arial"/>
              <a:cs typeface="Arial"/>
            </a:rPr>
            <a:t>Margem líquida - ML- ("sobra líquida") </a:t>
          </a:r>
          <a:r>
            <a:rPr lang="pt-BR" sz="1200" b="1" i="0" u="none" strike="noStrike" baseline="0">
              <a:solidFill>
                <a:srgbClr val="000000"/>
              </a:solidFill>
              <a:latin typeface="Arial"/>
              <a:cs typeface="Arial"/>
            </a:rPr>
            <a:t>= significa o que efetivamente sobra  de cada 1 real apurado com venda de produtos e com os  produtos  consumidos pela família em forma de alimento. Somando o valor de venda + tudo que for consumido como alimento e diminuindo disso, os custo e a depreciação, temos a Margem Líquida. ML= (Venda + consumo) - custos-depreciação. </a:t>
          </a:r>
        </a:p>
        <a:p>
          <a:pPr algn="l" rtl="0">
            <a:defRPr sz="1000"/>
          </a:pPr>
          <a:endParaRPr lang="pt-BR" sz="1200" b="1" i="0" u="none" strike="noStrike" baseline="0">
            <a:solidFill>
              <a:srgbClr val="000000"/>
            </a:solidFill>
            <a:latin typeface="Arial"/>
            <a:cs typeface="Arial"/>
          </a:endParaRPr>
        </a:p>
        <a:p>
          <a:pPr algn="l" rtl="0">
            <a:defRPr sz="1000"/>
          </a:pPr>
          <a:r>
            <a:rPr lang="pt-BR" sz="1200" b="1" i="0" u="none" strike="noStrike" baseline="0">
              <a:solidFill>
                <a:srgbClr val="FF0000"/>
              </a:solidFill>
              <a:latin typeface="Arial"/>
              <a:cs typeface="Arial"/>
            </a:rPr>
            <a:t>CUSTOS : </a:t>
          </a:r>
          <a:r>
            <a:rPr lang="pt-BR" sz="1200" b="1" i="0" u="none" strike="noStrike" baseline="0">
              <a:solidFill>
                <a:srgbClr val="000000"/>
              </a:solidFill>
              <a:latin typeface="Arial"/>
              <a:cs typeface="Arial"/>
            </a:rPr>
            <a:t>É toda a  despesa efetivamente realizada com pagamentos de  agentes externos na compra  de  insumos e serviços, bem como pagamentos de juros e impostos. Para efeito desta análise, chamamos este custo de </a:t>
          </a:r>
          <a:r>
            <a:rPr lang="pt-BR" sz="1200" b="1" i="0" u="none" strike="noStrike" baseline="0">
              <a:solidFill>
                <a:srgbClr val="FF0000"/>
              </a:solidFill>
              <a:latin typeface="Arial"/>
              <a:cs typeface="Arial"/>
            </a:rPr>
            <a:t>CUSTO OPERACIONAL  (CO), </a:t>
          </a:r>
          <a:r>
            <a:rPr lang="pt-BR" sz="1200" b="1" i="0" u="none" strike="noStrike" baseline="0">
              <a:solidFill>
                <a:srgbClr val="000000"/>
              </a:solidFill>
              <a:latin typeface="Arial"/>
              <a:cs typeface="Arial"/>
            </a:rPr>
            <a:t>pois inclui as despesas de custeio realmente desenbolsadas, não inclui por exemplo os custos de </a:t>
          </a:r>
          <a:r>
            <a:rPr lang="pt-BR" sz="1200" b="1" i="0" u="sng" strike="noStrike" baseline="0">
              <a:solidFill>
                <a:srgbClr val="000000"/>
              </a:solidFill>
              <a:latin typeface="Arial"/>
              <a:cs typeface="Arial"/>
            </a:rPr>
            <a:t>oportunidade</a:t>
          </a:r>
          <a:r>
            <a:rPr lang="pt-BR" sz="1200" b="1" i="0" u="none" strike="noStrike" baseline="0">
              <a:solidFill>
                <a:srgbClr val="000000"/>
              </a:solidFill>
              <a:latin typeface="Arial"/>
              <a:cs typeface="Arial"/>
            </a:rPr>
            <a:t>. Usamos para diferenciar, a palavra operacional.</a:t>
          </a:r>
        </a:p>
        <a:p>
          <a:pPr algn="l" rtl="0">
            <a:defRPr sz="1000"/>
          </a:pPr>
          <a:endParaRPr lang="pt-BR" sz="1200" b="1" i="0" u="none" strike="noStrike" baseline="0">
            <a:solidFill>
              <a:srgbClr val="000000"/>
            </a:solidFill>
            <a:latin typeface="Arial"/>
            <a:cs typeface="Arial"/>
          </a:endParaRPr>
        </a:p>
        <a:p>
          <a:pPr algn="l" rtl="0">
            <a:defRPr sz="1000"/>
          </a:pPr>
          <a:r>
            <a:rPr lang="pt-BR" sz="1200" b="1" i="0" u="none" strike="noStrike" baseline="0">
              <a:solidFill>
                <a:srgbClr val="FF0000"/>
              </a:solidFill>
              <a:latin typeface="Arial"/>
              <a:cs typeface="Arial"/>
            </a:rPr>
            <a:t>DEPRECIAÇÃO E DEMAIS CUSTOS FIXOS: </a:t>
          </a:r>
          <a:r>
            <a:rPr lang="pt-BR" sz="1200" b="1" i="0" u="none" strike="noStrike" baseline="0">
              <a:solidFill>
                <a:srgbClr val="000000"/>
              </a:solidFill>
              <a:latin typeface="Arial"/>
              <a:cs typeface="Arial"/>
            </a:rPr>
            <a:t>É o custo do capital investido em bens utilizados na produção. A cada ano os bens perdem valor por obsolescencia. Também são rateados aqui investimentos, utilizados em varios anos para realização da produção (ex: correção solo, reforma motor, etc )</a:t>
          </a:r>
        </a:p>
        <a:p>
          <a:pPr algn="l" rtl="0">
            <a:defRPr sz="1000"/>
          </a:pPr>
          <a:endParaRPr lang="pt-BR" sz="1200" b="1" i="0" u="none" strike="noStrike" baseline="0">
            <a:solidFill>
              <a:srgbClr val="000000"/>
            </a:solidFill>
            <a:latin typeface="Arial"/>
            <a:cs typeface="Arial"/>
          </a:endParaRPr>
        </a:p>
        <a:p>
          <a:pPr algn="l" rtl="0">
            <a:defRPr sz="1000"/>
          </a:pPr>
          <a:endParaRPr lang="pt-BR" sz="1200" b="1" i="0" u="none" strike="noStrike" baseline="0">
            <a:solidFill>
              <a:srgbClr val="FF0000"/>
            </a:solidFill>
            <a:latin typeface="Arial"/>
            <a:cs typeface="Arial"/>
          </a:endParaRPr>
        </a:p>
        <a:p>
          <a:pPr algn="l" rtl="0">
            <a:defRPr sz="1000"/>
          </a:pPr>
          <a:r>
            <a:rPr lang="pt-BR" sz="1200" b="1" i="0" u="none" strike="noStrike" baseline="0">
              <a:solidFill>
                <a:srgbClr val="FF0000"/>
              </a:solidFill>
              <a:latin typeface="Arial"/>
              <a:cs typeface="Arial"/>
            </a:rPr>
            <a:t> </a:t>
          </a:r>
          <a:endParaRPr lang="pt-BR" sz="1200" b="1" i="0" u="none" strike="noStrike" baseline="0">
            <a:solidFill>
              <a:srgbClr val="000000"/>
            </a:solidFill>
            <a:latin typeface="Arial"/>
            <a:cs typeface="Arial"/>
          </a:endParaRPr>
        </a:p>
        <a:p>
          <a:pPr algn="l" rtl="0">
            <a:defRPr sz="1000"/>
          </a:pPr>
          <a:r>
            <a:rPr lang="pt-BR" sz="1200" b="1" i="0" u="none" strike="noStrike" baseline="0">
              <a:solidFill>
                <a:srgbClr val="000000"/>
              </a:solidFill>
              <a:latin typeface="Arial"/>
              <a:cs typeface="Arial"/>
            </a:rPr>
            <a:t> </a:t>
          </a:r>
        </a:p>
      </xdr:txBody>
    </xdr:sp>
    <xdr:clientData/>
  </xdr:twoCellAnchor>
  <xdr:twoCellAnchor>
    <xdr:from>
      <xdr:col>2</xdr:col>
      <xdr:colOff>104775</xdr:colOff>
      <xdr:row>54</xdr:row>
      <xdr:rowOff>142875</xdr:rowOff>
    </xdr:from>
    <xdr:to>
      <xdr:col>16</xdr:col>
      <xdr:colOff>1000125</xdr:colOff>
      <xdr:row>87</xdr:row>
      <xdr:rowOff>114300</xdr:rowOff>
    </xdr:to>
    <xdr:graphicFrame macro="">
      <xdr:nvGraphicFramePr>
        <xdr:cNvPr id="11704254" name="Gráfico 1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1123950</xdr:colOff>
      <xdr:row>28</xdr:row>
      <xdr:rowOff>85725</xdr:rowOff>
    </xdr:from>
    <xdr:to>
      <xdr:col>20</xdr:col>
      <xdr:colOff>19050</xdr:colOff>
      <xdr:row>50</xdr:row>
      <xdr:rowOff>114300</xdr:rowOff>
    </xdr:to>
    <xdr:sp macro="" textlink="">
      <xdr:nvSpPr>
        <xdr:cNvPr id="276631" name="Text Box 151"/>
        <xdr:cNvSpPr txBox="1">
          <a:spLocks noChangeArrowheads="1"/>
        </xdr:cNvSpPr>
      </xdr:nvSpPr>
      <xdr:spPr bwMode="auto">
        <a:xfrm>
          <a:off x="8115300" y="6429375"/>
          <a:ext cx="6353175" cy="3590925"/>
        </a:xfrm>
        <a:prstGeom prst="rect">
          <a:avLst/>
        </a:prstGeom>
        <a:solidFill>
          <a:srgbClr xmlns:mc="http://schemas.openxmlformats.org/markup-compatibility/2006" xmlns:a14="http://schemas.microsoft.com/office/drawing/2010/main" val="FFFFFF" mc:Ignorable="a14" a14:legacySpreadsheetColorIndex="9"/>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pt-BR" sz="900" b="1" i="0" u="none" strike="noStrike" baseline="0">
            <a:solidFill>
              <a:srgbClr val="FF0000"/>
            </a:solidFill>
            <a:latin typeface="Arial"/>
            <a:cs typeface="Arial"/>
          </a:endParaRPr>
        </a:p>
        <a:p>
          <a:pPr algn="l" rtl="0">
            <a:defRPr sz="1000"/>
          </a:pPr>
          <a:r>
            <a:rPr lang="pt-BR" sz="900" b="1" i="0" u="none" strike="noStrike" baseline="0">
              <a:solidFill>
                <a:srgbClr val="FF0000"/>
              </a:solidFill>
              <a:latin typeface="Arial"/>
              <a:cs typeface="Arial"/>
            </a:rPr>
            <a:t>RESUMINDO</a:t>
          </a:r>
          <a:r>
            <a:rPr lang="pt-BR" sz="900" b="1" i="0" u="none" strike="noStrike" baseline="0">
              <a:solidFill>
                <a:srgbClr val="000000"/>
              </a:solidFill>
              <a:latin typeface="Arial"/>
              <a:cs typeface="Arial"/>
            </a:rPr>
            <a:t>:  OS RESULTADOS CALCULADOS NESTA PLANILHA ,SÃO OBTIDOS A PARTIR DE TRÊS CONJUNTO DE ELEMENTOS:  </a:t>
          </a:r>
        </a:p>
        <a:p>
          <a:pPr algn="l" rtl="0">
            <a:defRPr sz="1000"/>
          </a:pPr>
          <a:r>
            <a:rPr lang="pt-BR" sz="900" b="1" i="0" u="none" strike="noStrike" baseline="0">
              <a:solidFill>
                <a:srgbClr val="000000"/>
              </a:solidFill>
              <a:latin typeface="Arial"/>
              <a:cs typeface="Arial"/>
            </a:rPr>
            <a:t>  </a:t>
          </a:r>
        </a:p>
        <a:p>
          <a:pPr algn="l" rtl="0">
            <a:defRPr sz="1000"/>
          </a:pPr>
          <a:r>
            <a:rPr lang="pt-BR" sz="900" b="1" i="0" u="none" strike="noStrike" baseline="0">
              <a:solidFill>
                <a:srgbClr val="000000"/>
              </a:solidFill>
              <a:latin typeface="Arial"/>
              <a:cs typeface="Arial"/>
            </a:rPr>
            <a:t>                       </a:t>
          </a:r>
          <a:r>
            <a:rPr lang="pt-BR" sz="900" b="1" i="0" u="none" strike="noStrike" baseline="0">
              <a:solidFill>
                <a:srgbClr val="FF0000"/>
              </a:solidFill>
              <a:latin typeface="Arial"/>
              <a:cs typeface="Arial"/>
            </a:rPr>
            <a:t>A ) RENDA BRUTA  (RB)=</a:t>
          </a:r>
          <a:r>
            <a:rPr lang="pt-BR" sz="900" b="1" i="0" u="none" strike="noStrike" baseline="0">
              <a:solidFill>
                <a:srgbClr val="000000"/>
              </a:solidFill>
              <a:latin typeface="Arial"/>
              <a:cs typeface="Arial"/>
            </a:rPr>
            <a:t> O VALOR DE TODAS AS VENDAS + O VALOR DO QUE É  CONSUMIDO COMO ALIMENTO  DA FAMÍLIA.</a:t>
          </a:r>
        </a:p>
        <a:p>
          <a:pPr algn="l" rtl="0">
            <a:defRPr sz="1000"/>
          </a:pPr>
          <a:r>
            <a:rPr lang="pt-BR" sz="900" b="1" i="0" u="none" strike="noStrike" baseline="0">
              <a:solidFill>
                <a:srgbClr val="000000"/>
              </a:solidFill>
              <a:latin typeface="Arial"/>
              <a:cs typeface="Arial"/>
            </a:rPr>
            <a:t>                       </a:t>
          </a:r>
          <a:r>
            <a:rPr lang="pt-BR" sz="900" b="1" i="0" u="none" strike="noStrike" baseline="0">
              <a:solidFill>
                <a:srgbClr val="FF0000"/>
              </a:solidFill>
              <a:latin typeface="Arial"/>
              <a:cs typeface="Arial"/>
            </a:rPr>
            <a:t>B ) O CUSTO OPERACIONAL  - (CO)  = </a:t>
          </a:r>
          <a:r>
            <a:rPr lang="pt-BR" sz="900" b="1" i="0" u="none" strike="noStrike" baseline="0">
              <a:solidFill>
                <a:srgbClr val="000000"/>
              </a:solidFill>
              <a:latin typeface="Arial"/>
              <a:cs typeface="Arial"/>
            </a:rPr>
            <a:t>(todas as despesas efetivamente pagas)</a:t>
          </a:r>
        </a:p>
        <a:p>
          <a:pPr algn="l" rtl="0">
            <a:defRPr sz="1000"/>
          </a:pPr>
          <a:r>
            <a:rPr lang="pt-BR" sz="900" b="1" i="0" u="none" strike="noStrike" baseline="0">
              <a:solidFill>
                <a:srgbClr val="000000"/>
              </a:solidFill>
              <a:latin typeface="Arial"/>
              <a:cs typeface="Arial"/>
            </a:rPr>
            <a:t>                       </a:t>
          </a:r>
          <a:r>
            <a:rPr lang="pt-BR" sz="900" b="1" i="0" u="none" strike="noStrike" baseline="0">
              <a:solidFill>
                <a:srgbClr val="FF0000"/>
              </a:solidFill>
              <a:latin typeface="Arial"/>
              <a:cs typeface="Arial"/>
            </a:rPr>
            <a:t>C ) DEPRECIAÇÃO  E DEMAIS CUSTOS FIXOS( DF)</a:t>
          </a:r>
          <a:endParaRPr lang="pt-BR" sz="900" b="1" i="0" u="none" strike="noStrike" baseline="0">
            <a:solidFill>
              <a:srgbClr val="000000"/>
            </a:solidFill>
            <a:latin typeface="Arial"/>
            <a:cs typeface="Arial"/>
          </a:endParaRPr>
        </a:p>
        <a:p>
          <a:pPr algn="l" rtl="0">
            <a:defRPr sz="1000"/>
          </a:pPr>
          <a:r>
            <a:rPr lang="pt-BR" sz="900" b="1" i="0" u="none" strike="noStrike" baseline="0">
              <a:solidFill>
                <a:srgbClr val="000000"/>
              </a:solidFill>
              <a:latin typeface="Arial"/>
              <a:cs typeface="Arial"/>
            </a:rPr>
            <a:t>                       </a:t>
          </a:r>
        </a:p>
        <a:p>
          <a:pPr algn="l" rtl="0">
            <a:defRPr sz="1000"/>
          </a:pPr>
          <a:r>
            <a:rPr lang="pt-BR" sz="900" b="1" i="0" u="none" strike="noStrike" baseline="0">
              <a:solidFill>
                <a:srgbClr val="000000"/>
              </a:solidFill>
              <a:latin typeface="Arial"/>
              <a:cs typeface="Arial"/>
            </a:rPr>
            <a:t>      </a:t>
          </a:r>
          <a:r>
            <a:rPr lang="pt-BR" sz="900" b="1" i="0" u="sng" strike="noStrike" baseline="0">
              <a:solidFill>
                <a:srgbClr val="FF0000"/>
              </a:solidFill>
              <a:latin typeface="Arial"/>
              <a:cs typeface="Arial"/>
            </a:rPr>
            <a:t>CUSTO OPERACIONAL TOTAL  ( COT )</a:t>
          </a:r>
          <a:r>
            <a:rPr lang="pt-BR" sz="900" b="1" i="0" u="none" strike="noStrike" baseline="0">
              <a:solidFill>
                <a:srgbClr val="FF0000"/>
              </a:solidFill>
              <a:latin typeface="Arial"/>
              <a:cs typeface="Arial"/>
            </a:rPr>
            <a:t> = CO + Df</a:t>
          </a:r>
          <a:endParaRPr lang="pt-BR" sz="900" b="1" i="0" u="none" strike="noStrike" baseline="0">
            <a:solidFill>
              <a:srgbClr val="000000"/>
            </a:solidFill>
            <a:latin typeface="Arial"/>
            <a:cs typeface="Arial"/>
          </a:endParaRPr>
        </a:p>
        <a:p>
          <a:pPr algn="l" rtl="0">
            <a:defRPr sz="1000"/>
          </a:pPr>
          <a:r>
            <a:rPr lang="pt-BR" sz="900" b="1" i="0" u="none" strike="noStrike" baseline="0">
              <a:solidFill>
                <a:srgbClr val="000000"/>
              </a:solidFill>
              <a:latin typeface="Arial"/>
              <a:cs typeface="Arial"/>
            </a:rPr>
            <a:t>      </a:t>
          </a:r>
        </a:p>
        <a:p>
          <a:pPr algn="l" rtl="0">
            <a:defRPr sz="1000"/>
          </a:pPr>
          <a:r>
            <a:rPr lang="pt-BR" sz="900" b="1" i="0" u="none" strike="noStrike" baseline="0">
              <a:solidFill>
                <a:srgbClr val="000000"/>
              </a:solidFill>
              <a:latin typeface="Arial"/>
              <a:cs typeface="Arial"/>
            </a:rPr>
            <a:t>      </a:t>
          </a:r>
          <a:r>
            <a:rPr lang="pt-BR" sz="900" b="1" i="0" u="sng" strike="noStrike" baseline="0">
              <a:solidFill>
                <a:srgbClr val="FF0000"/>
              </a:solidFill>
              <a:latin typeface="Arial"/>
              <a:cs typeface="Arial"/>
            </a:rPr>
            <a:t>MARGEM LÍQUIDA = RB - COT</a:t>
          </a:r>
          <a:endParaRPr lang="pt-BR" sz="900" b="1" i="0" u="none" strike="noStrike" baseline="0">
            <a:solidFill>
              <a:srgbClr val="FF0000"/>
            </a:solidFill>
            <a:latin typeface="Arial"/>
            <a:cs typeface="Arial"/>
          </a:endParaRPr>
        </a:p>
        <a:p>
          <a:pPr algn="l" rtl="0">
            <a:defRPr sz="1000"/>
          </a:pPr>
          <a:endParaRPr lang="pt-BR" sz="900" b="1" i="0" u="none" strike="noStrike" baseline="0">
            <a:solidFill>
              <a:srgbClr val="FF0000"/>
            </a:solidFill>
            <a:latin typeface="Arial"/>
            <a:cs typeface="Arial"/>
          </a:endParaRPr>
        </a:p>
        <a:p>
          <a:pPr algn="l" rtl="0">
            <a:defRPr sz="1000"/>
          </a:pPr>
          <a:r>
            <a:rPr lang="pt-BR" sz="900" b="1" i="0" u="none" strike="noStrike" baseline="0">
              <a:solidFill>
                <a:srgbClr val="FF0000"/>
              </a:solidFill>
              <a:latin typeface="Arial"/>
              <a:cs typeface="Arial"/>
            </a:rPr>
            <a:t>       </a:t>
          </a:r>
        </a:p>
        <a:p>
          <a:pPr algn="l" rtl="0">
            <a:defRPr sz="1000"/>
          </a:pPr>
          <a:r>
            <a:rPr lang="pt-BR" sz="900" b="1" i="0" u="none" strike="noStrike" baseline="0">
              <a:solidFill>
                <a:srgbClr val="FF0000"/>
              </a:solidFill>
              <a:latin typeface="Arial"/>
              <a:cs typeface="Arial"/>
            </a:rPr>
            <a:t>O QUE SERIA ENTÃO A MARGEM BRUTA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180975</xdr:colOff>
      <xdr:row>2</xdr:row>
      <xdr:rowOff>104775</xdr:rowOff>
    </xdr:from>
    <xdr:to>
      <xdr:col>14</xdr:col>
      <xdr:colOff>476250</xdr:colOff>
      <xdr:row>7</xdr:row>
      <xdr:rowOff>85725</xdr:rowOff>
    </xdr:to>
    <xdr:sp macro="" textlink="">
      <xdr:nvSpPr>
        <xdr:cNvPr id="277654" name="Rectangle 150"/>
        <xdr:cNvSpPr>
          <a:spLocks noChangeArrowheads="1"/>
        </xdr:cNvSpPr>
      </xdr:nvSpPr>
      <xdr:spPr bwMode="auto">
        <a:xfrm>
          <a:off x="180975" y="447675"/>
          <a:ext cx="10001250" cy="790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0" anchor="t" upright="1"/>
        <a:lstStyle/>
        <a:p>
          <a:pPr algn="ctr" rtl="0">
            <a:defRPr sz="1000"/>
          </a:pPr>
          <a:r>
            <a:rPr lang="pt-BR" sz="1400" b="1" i="0" u="none" strike="noStrike" baseline="0">
              <a:solidFill>
                <a:srgbClr val="000000"/>
              </a:solidFill>
              <a:latin typeface="Arial"/>
              <a:cs typeface="Arial"/>
            </a:rPr>
            <a:t>DESEMPENHO ECONÔMICO  DA ATIVIDADE LEITEIRA</a:t>
          </a:r>
        </a:p>
        <a:p>
          <a:pPr algn="ctr" rtl="0">
            <a:defRPr sz="1000"/>
          </a:pPr>
          <a:endParaRPr lang="pt-BR" sz="1400" b="1" i="0" u="none" strike="noStrike" baseline="0">
            <a:solidFill>
              <a:srgbClr val="000000"/>
            </a:solidFill>
            <a:latin typeface="Arial"/>
            <a:cs typeface="Arial"/>
          </a:endParaRPr>
        </a:p>
        <a:p>
          <a:pPr algn="ctr" rtl="0">
            <a:defRPr sz="1000"/>
          </a:pPr>
          <a:r>
            <a:rPr lang="pt-BR" sz="1000" b="1" i="0" u="none" strike="noStrike" baseline="0">
              <a:solidFill>
                <a:srgbClr val="000000"/>
              </a:solidFill>
              <a:latin typeface="Arial"/>
              <a:cs typeface="Arial"/>
            </a:rPr>
            <a:t>Usamos o termo atividade leiteira ,ao invés de produção leiteira, pois ao se lidar  com os animais,  produz-se além de leite e seus processados,(queijo)  animais e seus derivados processados.</a:t>
          </a:r>
        </a:p>
        <a:p>
          <a:pPr algn="ctr" rtl="0">
            <a:defRPr sz="1000"/>
          </a:pPr>
          <a:endParaRPr lang="pt-BR" sz="1400" b="1" i="0" u="none" strike="noStrike" baseline="0">
            <a:solidFill>
              <a:srgbClr val="000000"/>
            </a:solidFill>
            <a:latin typeface="Arial"/>
            <a:cs typeface="Arial"/>
          </a:endParaRPr>
        </a:p>
        <a:p>
          <a:pPr algn="ctr" rtl="0">
            <a:defRPr sz="1000"/>
          </a:pPr>
          <a:endParaRPr lang="pt-BR" sz="1400" b="1" i="0" u="none" strike="noStrike" baseline="0">
            <a:solidFill>
              <a:srgbClr val="000000"/>
            </a:solidFill>
            <a:latin typeface="Arial"/>
            <a:cs typeface="Arial"/>
          </a:endParaRPr>
        </a:p>
        <a:p>
          <a:pPr algn="ctr" rtl="0">
            <a:defRPr sz="1000"/>
          </a:pPr>
          <a:endParaRPr lang="pt-BR" sz="1400" b="1" i="0" u="none" strike="noStrike" baseline="0">
            <a:solidFill>
              <a:srgbClr val="000000"/>
            </a:solidFill>
            <a:latin typeface="Arial"/>
            <a:cs typeface="Arial"/>
          </a:endParaRPr>
        </a:p>
      </xdr:txBody>
    </xdr:sp>
    <xdr:clientData/>
  </xdr:twoCellAnchor>
  <xdr:twoCellAnchor>
    <xdr:from>
      <xdr:col>0</xdr:col>
      <xdr:colOff>114300</xdr:colOff>
      <xdr:row>37</xdr:row>
      <xdr:rowOff>28575</xdr:rowOff>
    </xdr:from>
    <xdr:to>
      <xdr:col>14</xdr:col>
      <xdr:colOff>447675</xdr:colOff>
      <xdr:row>50</xdr:row>
      <xdr:rowOff>28575</xdr:rowOff>
    </xdr:to>
    <xdr:sp macro="" textlink="">
      <xdr:nvSpPr>
        <xdr:cNvPr id="277668" name="Rectangle 151"/>
        <xdr:cNvSpPr>
          <a:spLocks noChangeArrowheads="1"/>
        </xdr:cNvSpPr>
      </xdr:nvSpPr>
      <xdr:spPr bwMode="auto">
        <a:xfrm>
          <a:off x="114300" y="7000875"/>
          <a:ext cx="1003935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pt-BR" sz="1000" b="1" i="0" u="none" strike="noStrike" baseline="0">
              <a:solidFill>
                <a:srgbClr val="000000"/>
              </a:solidFill>
              <a:latin typeface="Arial"/>
              <a:cs typeface="Arial"/>
            </a:rPr>
            <a:t>OS INDICADORES SEGUEM A MESMA LÓGICA DO RESULTADO GLOBAL, PORÉM CONSIDERANDO APENAS A ATIVIDADE LEIT</a:t>
          </a:r>
          <a:r>
            <a:rPr lang="pt-BR" sz="1000" b="1" i="0" u="none" strike="noStrike" baseline="0">
              <a:solidFill>
                <a:srgbClr val="FFFFFF"/>
              </a:solidFill>
              <a:latin typeface="Arial"/>
              <a:cs typeface="Arial"/>
            </a:rPr>
            <a:t>EI</a:t>
          </a:r>
          <a:r>
            <a:rPr lang="pt-BR" sz="1000" b="0" i="0" u="none" strike="noStrike" baseline="0">
              <a:solidFill>
                <a:srgbClr val="FFFFFF"/>
              </a:solidFill>
              <a:latin typeface="Arial"/>
              <a:cs typeface="Arial"/>
            </a:rPr>
            <a:t>RA .</a:t>
          </a:r>
        </a:p>
        <a:p>
          <a:pPr algn="l" rtl="0">
            <a:defRPr sz="1000"/>
          </a:pPr>
          <a:endParaRPr lang="pt-BR" sz="1000" b="0" i="0" u="none" strike="noStrike" baseline="0">
            <a:solidFill>
              <a:srgbClr val="FFFFFF"/>
            </a:solidFill>
            <a:latin typeface="Arial"/>
            <a:cs typeface="Arial"/>
          </a:endParaRPr>
        </a:p>
        <a:p>
          <a:pPr algn="l" rtl="0">
            <a:defRPr sz="1000"/>
          </a:pPr>
          <a:r>
            <a:rPr lang="pt-BR" sz="1000" b="0" i="0" u="none" strike="noStrike" baseline="0">
              <a:solidFill>
                <a:srgbClr val="FFFFFF"/>
              </a:solidFill>
              <a:latin typeface="Arial"/>
              <a:cs typeface="Arial"/>
            </a:rPr>
            <a:t>     </a:t>
          </a:r>
          <a:r>
            <a:rPr lang="pt-BR" sz="1000" b="1" i="0" u="none" strike="noStrike" baseline="0">
              <a:solidFill>
                <a:srgbClr val="FF0000"/>
              </a:solidFill>
              <a:latin typeface="Arial"/>
              <a:cs typeface="Arial"/>
            </a:rPr>
            <a:t>                  A ) RENDA BRUTA ATIV. LEITE (RB)= </a:t>
          </a:r>
          <a:r>
            <a:rPr lang="pt-BR" sz="1000" b="1" i="0" u="none" strike="noStrike" baseline="0">
              <a:solidFill>
                <a:srgbClr val="000000"/>
              </a:solidFill>
              <a:latin typeface="Arial"/>
              <a:cs typeface="Arial"/>
            </a:rPr>
            <a:t>O VALOR DE TODAS AS VENDAS (leite+ amimais, queijo e demais processados advindos da atividade leite) E O O VALOR DO QUE É  CONSUMIDO COMO ALIMENTO  DA FAMÍLIA.</a:t>
          </a:r>
          <a:endParaRPr lang="pt-BR" sz="1000" b="1" i="0" u="none" strike="noStrike" baseline="0">
            <a:solidFill>
              <a:srgbClr val="FF0000"/>
            </a:solidFill>
            <a:latin typeface="Arial"/>
            <a:cs typeface="Arial"/>
          </a:endParaRPr>
        </a:p>
        <a:p>
          <a:pPr algn="l" rtl="0">
            <a:defRPr sz="1000"/>
          </a:pPr>
          <a:endParaRPr lang="pt-BR" sz="1000" b="1" i="0" u="none" strike="noStrike" baseline="0">
            <a:solidFill>
              <a:srgbClr val="FF0000"/>
            </a:solidFill>
            <a:latin typeface="Arial"/>
            <a:cs typeface="Arial"/>
          </a:endParaRPr>
        </a:p>
        <a:p>
          <a:pPr algn="l" rtl="0">
            <a:defRPr sz="1000"/>
          </a:pPr>
          <a:r>
            <a:rPr lang="pt-BR" sz="1000" b="1" i="0" u="none" strike="noStrike" baseline="0">
              <a:solidFill>
                <a:srgbClr val="FF0000"/>
              </a:solidFill>
              <a:latin typeface="Arial"/>
              <a:cs typeface="Arial"/>
            </a:rPr>
            <a:t>                       B ) CUSTOS : </a:t>
          </a:r>
          <a:r>
            <a:rPr lang="pt-BR" sz="1000" b="1" i="0" u="none" strike="noStrike" baseline="0">
              <a:solidFill>
                <a:srgbClr val="000000"/>
              </a:solidFill>
              <a:latin typeface="Arial"/>
              <a:cs typeface="Arial"/>
            </a:rPr>
            <a:t>É toda a  despesa efetivamente realizada com pagamentos de  agentes externos na compra  de  insumos e serviços, bem como pagamentos de juros e impostos. Para efeito desta análise, chamamos este custo de CUSTO OPERACIONAL  (CO), pois inclui as despesas de custeio realmente desenbolsadas, não inclui por exemplo os custos de oportunidade. Usamos para diferenciar, a palavra operacional.</a:t>
          </a:r>
          <a:endParaRPr lang="pt-BR" sz="1000" b="1" i="0" u="none" strike="noStrike" baseline="0">
            <a:solidFill>
              <a:srgbClr val="FF0000"/>
            </a:solidFill>
            <a:latin typeface="Arial"/>
            <a:cs typeface="Arial"/>
          </a:endParaRPr>
        </a:p>
        <a:p>
          <a:pPr algn="l" rtl="0">
            <a:defRPr sz="1000"/>
          </a:pPr>
          <a:endParaRPr lang="pt-BR" sz="1000" b="1" i="0" u="none" strike="noStrike" baseline="0">
            <a:solidFill>
              <a:srgbClr val="FF0000"/>
            </a:solidFill>
            <a:latin typeface="Arial"/>
            <a:cs typeface="Arial"/>
          </a:endParaRPr>
        </a:p>
        <a:p>
          <a:pPr algn="l" rtl="0">
            <a:defRPr sz="1000"/>
          </a:pPr>
          <a:r>
            <a:rPr lang="pt-BR" sz="1000" b="1" i="0" u="none" strike="noStrike" baseline="0">
              <a:solidFill>
                <a:srgbClr val="FF0000"/>
              </a:solidFill>
              <a:latin typeface="Arial"/>
              <a:cs typeface="Arial"/>
            </a:rPr>
            <a:t>DEPRECIAÇÃO E DEMAIS CUSTOS FIXOS:</a:t>
          </a:r>
          <a:r>
            <a:rPr lang="pt-BR" sz="1000" b="1" i="0" u="none" strike="noStrike" baseline="0">
              <a:solidFill>
                <a:srgbClr val="000000"/>
              </a:solidFill>
              <a:latin typeface="Arial"/>
              <a:cs typeface="Arial"/>
            </a:rPr>
            <a:t> É o custo do capital investido em bens utilizados na produção. A cada ano os bens perdem valor por obsolescencia. Também são rateados aqui investimentos, utilizados em varios anos para realização da produção (ex: correção solo, reforma motor, etc )</a:t>
          </a:r>
        </a:p>
      </xdr:txBody>
    </xdr:sp>
    <xdr:clientData/>
  </xdr:twoCellAnchor>
  <xdr:twoCellAnchor>
    <xdr:from>
      <xdr:col>0</xdr:col>
      <xdr:colOff>228600</xdr:colOff>
      <xdr:row>53</xdr:row>
      <xdr:rowOff>114300</xdr:rowOff>
    </xdr:from>
    <xdr:to>
      <xdr:col>14</xdr:col>
      <xdr:colOff>466725</xdr:colOff>
      <xdr:row>81</xdr:row>
      <xdr:rowOff>142875</xdr:rowOff>
    </xdr:to>
    <xdr:graphicFrame macro="">
      <xdr:nvGraphicFramePr>
        <xdr:cNvPr id="15593787" name="Gráfico 1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8</xdr:row>
      <xdr:rowOff>114300</xdr:rowOff>
    </xdr:from>
    <xdr:to>
      <xdr:col>7</xdr:col>
      <xdr:colOff>323850</xdr:colOff>
      <xdr:row>21</xdr:row>
      <xdr:rowOff>76200</xdr:rowOff>
    </xdr:to>
    <xdr:graphicFrame macro="">
      <xdr:nvGraphicFramePr>
        <xdr:cNvPr id="15593788" name="Gráfico 1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285750</xdr:colOff>
      <xdr:row>8</xdr:row>
      <xdr:rowOff>114300</xdr:rowOff>
    </xdr:from>
    <xdr:to>
      <xdr:col>13</xdr:col>
      <xdr:colOff>552450</xdr:colOff>
      <xdr:row>21</xdr:row>
      <xdr:rowOff>66675</xdr:rowOff>
    </xdr:to>
    <xdr:graphicFrame macro="">
      <xdr:nvGraphicFramePr>
        <xdr:cNvPr id="15593789" name="Gráfico 1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361950</xdr:colOff>
      <xdr:row>22</xdr:row>
      <xdr:rowOff>47625</xdr:rowOff>
    </xdr:from>
    <xdr:to>
      <xdr:col>8</xdr:col>
      <xdr:colOff>523875</xdr:colOff>
      <xdr:row>34</xdr:row>
      <xdr:rowOff>114300</xdr:rowOff>
    </xdr:to>
    <xdr:graphicFrame macro="">
      <xdr:nvGraphicFramePr>
        <xdr:cNvPr id="15593790" name="Gráfico 1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285750</xdr:colOff>
      <xdr:row>23</xdr:row>
      <xdr:rowOff>152400</xdr:rowOff>
    </xdr:from>
    <xdr:to>
      <xdr:col>13</xdr:col>
      <xdr:colOff>457200</xdr:colOff>
      <xdr:row>33</xdr:row>
      <xdr:rowOff>114300</xdr:rowOff>
    </xdr:to>
    <xdr:sp macro="" textlink="">
      <xdr:nvSpPr>
        <xdr:cNvPr id="277674" name="Text Box 160"/>
        <xdr:cNvSpPr txBox="1">
          <a:spLocks noChangeArrowheads="1"/>
        </xdr:cNvSpPr>
      </xdr:nvSpPr>
      <xdr:spPr bwMode="auto">
        <a:xfrm>
          <a:off x="6124575" y="4857750"/>
          <a:ext cx="3448050" cy="15811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t-BR" sz="1200" b="1" i="0" u="none" strike="noStrike" baseline="0">
              <a:solidFill>
                <a:srgbClr val="FF0000"/>
              </a:solidFill>
              <a:latin typeface="Arial"/>
              <a:cs typeface="Arial"/>
            </a:rPr>
            <a:t>A</a:t>
          </a:r>
          <a:r>
            <a:rPr lang="pt-BR" sz="1100" b="1" i="0" u="none" strike="noStrike" baseline="0">
              <a:solidFill>
                <a:srgbClr val="FF0000"/>
              </a:solidFill>
              <a:latin typeface="Arial"/>
              <a:cs typeface="Arial"/>
            </a:rPr>
            <a:t>tenção:</a:t>
          </a:r>
          <a:r>
            <a:rPr lang="pt-BR" sz="1100" b="0" i="0" u="none" strike="noStrike" baseline="0">
              <a:solidFill>
                <a:srgbClr val="000000"/>
              </a:solidFill>
              <a:latin typeface="Arial"/>
              <a:cs typeface="Arial"/>
            </a:rPr>
            <a:t>  </a:t>
          </a:r>
          <a:r>
            <a:rPr lang="pt-BR" sz="1100" b="1" i="0" u="none" strike="noStrike" baseline="0">
              <a:solidFill>
                <a:srgbClr val="000000"/>
              </a:solidFill>
              <a:latin typeface="Arial"/>
              <a:cs typeface="Arial"/>
            </a:rPr>
            <a:t>Esta planilha não inclui como renda a mudança de inventário animal, ou seja o valor agregado pelo crescimento do rebanho(terneiras(os), novilhas(os)) do inicio do ano comparado com o final do ano, ou seja, não considera o crescimento dos animais que não foram vendidos ou abatidos. Este fato é uma limitação e deve ser levado em conta na interpretação dos resultados.</a:t>
          </a:r>
        </a:p>
        <a:p>
          <a:pPr algn="l" rtl="0">
            <a:lnSpc>
              <a:spcPts val="1100"/>
            </a:lnSpc>
            <a:defRPr sz="1000"/>
          </a:pPr>
          <a:endParaRPr lang="pt-BR" sz="1000" b="0" i="0" u="none" strike="noStrike" baseline="0">
            <a:solidFill>
              <a:srgbClr val="000000"/>
            </a:solidFill>
            <a:latin typeface="Arial"/>
            <a:cs typeface="Arial"/>
          </a:endParaRPr>
        </a:p>
        <a:p>
          <a:pPr algn="l" rtl="0">
            <a:lnSpc>
              <a:spcPts val="1000"/>
            </a:lnSpc>
            <a:defRPr sz="1000"/>
          </a:pPr>
          <a:endParaRPr lang="pt-BR" sz="1000" b="0" i="0" u="none" strike="noStrike" baseline="0">
            <a:solidFill>
              <a:srgbClr val="000000"/>
            </a:solidFill>
            <a:latin typeface="Arial"/>
            <a:cs typeface="Aria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200025</xdr:colOff>
      <xdr:row>30</xdr:row>
      <xdr:rowOff>142875</xdr:rowOff>
    </xdr:from>
    <xdr:to>
      <xdr:col>2</xdr:col>
      <xdr:colOff>923925</xdr:colOff>
      <xdr:row>52</xdr:row>
      <xdr:rowOff>123825</xdr:rowOff>
    </xdr:to>
    <xdr:graphicFrame macro="">
      <xdr:nvGraphicFramePr>
        <xdr:cNvPr id="556580"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0</xdr:row>
          <xdr:rowOff>66675</xdr:rowOff>
        </xdr:from>
        <xdr:to>
          <xdr:col>9</xdr:col>
          <xdr:colOff>19050</xdr:colOff>
          <xdr:row>23</xdr:row>
          <xdr:rowOff>114300</xdr:rowOff>
        </xdr:to>
        <xdr:sp macro="" textlink="">
          <xdr:nvSpPr>
            <xdr:cNvPr id="47111" name="Object 7" hidden="1">
              <a:extLst>
                <a:ext uri="{63B3BB69-23CF-44E3-9099-C40C66FF867C}">
                  <a14:compatExt spid="_x0000_s4711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9.xml"/><Relationship Id="rId1" Type="http://schemas.openxmlformats.org/officeDocument/2006/relationships/printerSettings" Target="../printerSettings/printerSettings33.bin"/><Relationship Id="rId5" Type="http://schemas.openxmlformats.org/officeDocument/2006/relationships/image" Target="../media/image12.emf"/><Relationship Id="rId4" Type="http://schemas.openxmlformats.org/officeDocument/2006/relationships/oleObject" Target="../embeddings/Documento_do_Microsoft_Word_97_-_20031.doc"/></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dimension ref="A1:E11"/>
  <sheetViews>
    <sheetView workbookViewId="0">
      <selection activeCell="A12" sqref="A12"/>
    </sheetView>
  </sheetViews>
  <sheetFormatPr defaultRowHeight="12.75" x14ac:dyDescent="0.2"/>
  <cols>
    <col min="1" max="1" width="92.140625" customWidth="1"/>
  </cols>
  <sheetData>
    <row r="1" spans="1:5" ht="13.5" thickBot="1" x14ac:dyDescent="0.25"/>
    <row r="2" spans="1:5" ht="13.5" thickBot="1" x14ac:dyDescent="0.25">
      <c r="A2" s="2718" t="s">
        <v>576</v>
      </c>
      <c r="B2" s="2719"/>
      <c r="C2" s="2719"/>
      <c r="D2" s="2719"/>
      <c r="E2" s="2720"/>
    </row>
    <row r="3" spans="1:5" ht="63.75" x14ac:dyDescent="0.2">
      <c r="A3" s="991" t="s">
        <v>633</v>
      </c>
    </row>
    <row r="4" spans="1:5" x14ac:dyDescent="0.2">
      <c r="A4" t="s">
        <v>632</v>
      </c>
    </row>
    <row r="6" spans="1:5" x14ac:dyDescent="0.2">
      <c r="A6" t="s">
        <v>634</v>
      </c>
    </row>
    <row r="8" spans="1:5" x14ac:dyDescent="0.2">
      <c r="A8" s="1304" t="s">
        <v>663</v>
      </c>
    </row>
    <row r="9" spans="1:5" x14ac:dyDescent="0.2">
      <c r="A9" s="913" t="s">
        <v>664</v>
      </c>
    </row>
    <row r="11" spans="1:5" x14ac:dyDescent="0.2">
      <c r="A11" t="s">
        <v>674</v>
      </c>
    </row>
  </sheetData>
  <sheetProtection password="85A7" sheet="1" objects="1" scenarios="1"/>
  <mergeCells count="1">
    <mergeCell ref="A2:E2"/>
  </mergeCells>
  <phoneticPr fontId="93" type="noConversion"/>
  <pageMargins left="0.78740157499999996" right="0.78740157499999996" top="0.984251969" bottom="0.984251969" header="0.49212598499999999" footer="0.49212598499999999"/>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tabColor rgb="FFFFFF00"/>
  </sheetPr>
  <dimension ref="A1"/>
  <sheetViews>
    <sheetView tabSelected="1" zoomScale="120" zoomScaleNormal="120" workbookViewId="0">
      <selection activeCell="A21" sqref="A21"/>
    </sheetView>
  </sheetViews>
  <sheetFormatPr defaultColWidth="8.85546875" defaultRowHeight="12.75" x14ac:dyDescent="0.2"/>
  <cols>
    <col min="1" max="16384" width="8.85546875" style="22"/>
  </cols>
  <sheetData/>
  <sheetProtection algorithmName="SHA-512" hashValue="wmASM1dbBcTYbjaZglqo22lEL5WLv+geC48lKmpInP0HJk3oD+wN2jQ6p8A8XQrlAsf6ouAHrNhBCn48wuCFdg==" saltValue="9IF7ODwPfHKjpIvmyvs+rw==" spinCount="100000" sheet="1" objects="1" scenarios="1"/>
  <pageMargins left="0.78740157499999996" right="0.78740157499999996" top="0.984251969" bottom="0.984251969" header="0.49212598499999999" footer="0.49212598499999999"/>
  <pageSetup paperSize="9" scale="7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
    <tabColor rgb="FFFFFF00"/>
    <pageSetUpPr fitToPage="1"/>
  </sheetPr>
  <dimension ref="A1:E28"/>
  <sheetViews>
    <sheetView showGridLines="0" zoomScaleNormal="100" workbookViewId="0">
      <selection activeCell="E14" sqref="E14"/>
    </sheetView>
  </sheetViews>
  <sheetFormatPr defaultColWidth="8.85546875" defaultRowHeight="12.75" x14ac:dyDescent="0.2"/>
  <cols>
    <col min="1" max="1" width="5.7109375" style="24" customWidth="1"/>
    <col min="2" max="2" width="56.85546875" style="24" customWidth="1"/>
    <col min="3" max="3" width="47.5703125" style="24" customWidth="1"/>
    <col min="4" max="16384" width="8.85546875" style="24"/>
  </cols>
  <sheetData>
    <row r="1" spans="1:5" ht="13.5" thickBot="1" x14ac:dyDescent="0.25">
      <c r="C1" s="612"/>
    </row>
    <row r="2" spans="1:5" ht="21" customHeight="1" thickBot="1" x14ac:dyDescent="0.25">
      <c r="B2" s="2721" t="s">
        <v>917</v>
      </c>
      <c r="C2" s="2722"/>
    </row>
    <row r="3" spans="1:5" ht="7.5" customHeight="1" thickBot="1" x14ac:dyDescent="0.25">
      <c r="B3" s="1837"/>
      <c r="C3" s="1837"/>
    </row>
    <row r="4" spans="1:5" s="1830" customFormat="1" ht="21" customHeight="1" thickBot="1" x14ac:dyDescent="0.25">
      <c r="B4" s="2394" t="s">
        <v>977</v>
      </c>
      <c r="C4" s="2570" t="s">
        <v>1077</v>
      </c>
      <c r="E4" s="24"/>
    </row>
    <row r="5" spans="1:5" s="1830" customFormat="1" ht="5.25" customHeight="1" thickBot="1" x14ac:dyDescent="0.25">
      <c r="B5" s="1803"/>
      <c r="C5" s="1803"/>
    </row>
    <row r="6" spans="1:5" s="1830" customFormat="1" ht="21" customHeight="1" thickBot="1" x14ac:dyDescent="0.25">
      <c r="B6" s="2394" t="s">
        <v>980</v>
      </c>
      <c r="C6" s="2570" t="s">
        <v>1078</v>
      </c>
      <c r="E6" s="2104"/>
    </row>
    <row r="7" spans="1:5" s="1830" customFormat="1" ht="5.25" customHeight="1" thickBot="1" x14ac:dyDescent="0.25">
      <c r="B7" s="1803"/>
      <c r="C7" s="1803"/>
    </row>
    <row r="8" spans="1:5" s="1830" customFormat="1" ht="21" customHeight="1" thickBot="1" x14ac:dyDescent="0.25">
      <c r="B8" s="2394" t="s">
        <v>978</v>
      </c>
      <c r="C8" s="2513" t="s">
        <v>860</v>
      </c>
    </row>
    <row r="9" spans="1:5" s="1830" customFormat="1" ht="5.25" customHeight="1" thickBot="1" x14ac:dyDescent="0.25">
      <c r="B9" s="1803"/>
      <c r="C9" s="1803"/>
    </row>
    <row r="10" spans="1:5" s="1830" customFormat="1" ht="21" customHeight="1" thickBot="1" x14ac:dyDescent="0.25">
      <c r="B10" s="2394" t="s">
        <v>979</v>
      </c>
      <c r="C10" s="2513" t="s">
        <v>860</v>
      </c>
    </row>
    <row r="11" spans="1:5" s="1830" customFormat="1" ht="5.25" customHeight="1" thickBot="1" x14ac:dyDescent="0.25">
      <c r="B11" s="1803"/>
      <c r="C11" s="1803"/>
    </row>
    <row r="12" spans="1:5" s="1830" customFormat="1" ht="21" customHeight="1" thickBot="1" x14ac:dyDescent="0.25">
      <c r="A12" s="1831"/>
      <c r="B12" s="2394" t="s">
        <v>951</v>
      </c>
      <c r="C12" s="2673">
        <v>44013</v>
      </c>
    </row>
    <row r="13" spans="1:5" s="1830" customFormat="1" ht="5.25" customHeight="1" thickBot="1" x14ac:dyDescent="0.25">
      <c r="B13" s="1803"/>
      <c r="C13" s="1803"/>
    </row>
    <row r="14" spans="1:5" s="1830" customFormat="1" ht="21" customHeight="1" thickBot="1" x14ac:dyDescent="0.25">
      <c r="A14" s="1831"/>
      <c r="B14" s="2394" t="s">
        <v>952</v>
      </c>
      <c r="C14" s="2672">
        <f>IF(C12=0,"",C12+364)</f>
        <v>44377</v>
      </c>
    </row>
    <row r="15" spans="1:5" s="1830" customFormat="1" ht="5.25" customHeight="1" thickBot="1" x14ac:dyDescent="0.25">
      <c r="B15" s="1803"/>
      <c r="C15" s="1803"/>
    </row>
    <row r="16" spans="1:5" s="1830" customFormat="1" ht="21" customHeight="1" thickBot="1" x14ac:dyDescent="0.25">
      <c r="A16" s="1831"/>
      <c r="B16" s="2394" t="s">
        <v>981</v>
      </c>
      <c r="C16" s="2570"/>
    </row>
    <row r="17" spans="1:5" ht="7.5" customHeight="1" x14ac:dyDescent="0.2">
      <c r="B17" s="1837"/>
      <c r="C17" s="1837"/>
    </row>
    <row r="18" spans="1:5" s="1830" customFormat="1" ht="21" hidden="1" customHeight="1" x14ac:dyDescent="0.2">
      <c r="A18" s="1831"/>
      <c r="B18" s="2729" t="s">
        <v>976</v>
      </c>
      <c r="C18" s="2729"/>
    </row>
    <row r="19" spans="1:5" ht="7.5" customHeight="1" thickBot="1" x14ac:dyDescent="0.25">
      <c r="B19" s="2514"/>
      <c r="C19" s="2514"/>
    </row>
    <row r="20" spans="1:5" s="1830" customFormat="1" ht="21" customHeight="1" thickBot="1" x14ac:dyDescent="0.25">
      <c r="B20" s="2394" t="s">
        <v>1071</v>
      </c>
      <c r="C20" s="2570"/>
      <c r="E20" s="24"/>
    </row>
    <row r="21" spans="1:5" s="1830" customFormat="1" ht="12.75" customHeight="1" thickBot="1" x14ac:dyDescent="0.25">
      <c r="B21" s="1803"/>
      <c r="C21" s="1803"/>
    </row>
    <row r="22" spans="1:5" ht="13.5" thickBot="1" x14ac:dyDescent="0.25">
      <c r="B22" s="2723" t="s">
        <v>1046</v>
      </c>
      <c r="C22" s="2724"/>
    </row>
    <row r="23" spans="1:5" x14ac:dyDescent="0.2">
      <c r="B23" s="2725"/>
      <c r="C23" s="2726"/>
    </row>
    <row r="24" spans="1:5" x14ac:dyDescent="0.2">
      <c r="B24" s="2725"/>
      <c r="C24" s="2726"/>
    </row>
    <row r="25" spans="1:5" x14ac:dyDescent="0.2">
      <c r="B25" s="2725"/>
      <c r="C25" s="2726"/>
    </row>
    <row r="26" spans="1:5" x14ac:dyDescent="0.2">
      <c r="B26" s="2725"/>
      <c r="C26" s="2726"/>
    </row>
    <row r="27" spans="1:5" x14ac:dyDescent="0.2">
      <c r="B27" s="2725"/>
      <c r="C27" s="2726"/>
    </row>
    <row r="28" spans="1:5" ht="13.5" thickBot="1" x14ac:dyDescent="0.25">
      <c r="B28" s="2727"/>
      <c r="C28" s="2728"/>
    </row>
  </sheetData>
  <sheetProtection algorithmName="SHA-512" hashValue="94MFAH76byXEpSe5Rr1CQCZYjSxbP2M/VGYxwSWml2eyYNCDTv+hEJ355kalBhfCfve8eIqnyB2wfSv3m7J1dQ==" saltValue="ODwTJwS0aiXfhd7LZHB4Fw==" spinCount="100000" sheet="1" objects="1" scenarios="1"/>
  <mergeCells count="4">
    <mergeCell ref="B2:C2"/>
    <mergeCell ref="B22:C22"/>
    <mergeCell ref="B23:C28"/>
    <mergeCell ref="B18:C18"/>
  </mergeCells>
  <phoneticPr fontId="0" type="noConversion"/>
  <pageMargins left="0.78740157499999996" right="0.78740157499999996" top="0.984251969" bottom="0.984251969" header="0.49212598499999999" footer="0.49212598499999999"/>
  <pageSetup paperSize="9" scale="93"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5">
    <tabColor rgb="FFFFFF00"/>
    <pageSetUpPr fitToPage="1"/>
  </sheetPr>
  <dimension ref="B1:AC141"/>
  <sheetViews>
    <sheetView showGridLines="0" zoomScaleNormal="100" zoomScaleSheetLayoutView="50" workbookViewId="0">
      <selection activeCell="G11" sqref="G11"/>
    </sheetView>
  </sheetViews>
  <sheetFormatPr defaultColWidth="11.42578125" defaultRowHeight="15" x14ac:dyDescent="0.2"/>
  <cols>
    <col min="1" max="1" width="1.85546875" style="14" customWidth="1"/>
    <col min="2" max="2" width="4.140625" style="14" customWidth="1"/>
    <col min="3" max="3" width="24.85546875" style="14" customWidth="1"/>
    <col min="4" max="4" width="1.42578125" style="14" customWidth="1"/>
    <col min="5" max="5" width="21.5703125" style="14" customWidth="1"/>
    <col min="6" max="6" width="1" style="14" customWidth="1"/>
    <col min="7" max="7" width="23.42578125" style="1803" customWidth="1"/>
    <col min="8" max="8" width="3.5703125" style="1803" customWidth="1"/>
    <col min="9" max="12" width="14.85546875" style="1803" customWidth="1"/>
    <col min="13" max="13" width="1.140625" style="1" customWidth="1"/>
    <col min="14" max="14" width="4.28515625" style="1803" customWidth="1"/>
    <col min="15" max="16384" width="11.42578125" style="14"/>
  </cols>
  <sheetData>
    <row r="1" spans="3:29" ht="5.25" customHeight="1" thickBot="1" x14ac:dyDescent="0.25"/>
    <row r="2" spans="3:29" ht="21" customHeight="1" thickBot="1" x14ac:dyDescent="0.25">
      <c r="C2" s="2002" t="str">
        <f>CADASTRO!C4</f>
        <v>Digitar o nome</v>
      </c>
      <c r="D2" s="2568"/>
      <c r="E2" s="2568"/>
      <c r="F2" s="2568"/>
      <c r="G2" s="2568" t="str">
        <f>CADASTRO!C6</f>
        <v>Digitar o município</v>
      </c>
      <c r="H2" s="2568"/>
      <c r="I2" s="2568"/>
      <c r="J2" s="2568"/>
      <c r="K2" s="2079">
        <f>CADASTRO!C12</f>
        <v>44013</v>
      </c>
      <c r="L2" s="2569">
        <f>CADASTRO!C14</f>
        <v>44377</v>
      </c>
    </row>
    <row r="3" spans="3:29" ht="6" customHeight="1" thickBot="1" x14ac:dyDescent="0.25">
      <c r="G3" s="14"/>
      <c r="H3" s="14"/>
      <c r="I3" s="14"/>
      <c r="J3" s="14"/>
      <c r="K3" s="14"/>
      <c r="L3" s="14"/>
      <c r="M3" s="14"/>
      <c r="N3" s="14"/>
    </row>
    <row r="4" spans="3:29" ht="25.5" customHeight="1" thickBot="1" x14ac:dyDescent="0.25">
      <c r="C4" s="2774" t="s">
        <v>209</v>
      </c>
      <c r="D4" s="2775"/>
      <c r="E4" s="2775"/>
      <c r="F4" s="2775"/>
      <c r="G4" s="2775"/>
      <c r="H4" s="2775"/>
      <c r="I4" s="2775"/>
      <c r="J4" s="2775"/>
      <c r="K4" s="2775"/>
      <c r="L4" s="2776"/>
      <c r="N4" s="1804"/>
      <c r="O4" s="1"/>
      <c r="P4" s="1"/>
      <c r="Q4" s="1"/>
      <c r="R4" s="1"/>
      <c r="S4" s="1"/>
      <c r="T4" s="1"/>
      <c r="U4" s="1"/>
      <c r="V4" s="1"/>
      <c r="W4" s="1"/>
    </row>
    <row r="5" spans="3:29" ht="15.75" thickBot="1" x14ac:dyDescent="0.25">
      <c r="D5" s="15"/>
      <c r="E5" s="5"/>
      <c r="G5" s="1109"/>
      <c r="H5" s="5"/>
      <c r="I5" s="1109"/>
      <c r="J5" s="1109"/>
      <c r="K5" s="1109"/>
      <c r="L5" s="1109"/>
      <c r="M5" s="5"/>
      <c r="N5" s="1804"/>
      <c r="O5" s="1"/>
      <c r="P5" s="1"/>
      <c r="Q5" s="1"/>
      <c r="R5" s="1"/>
      <c r="S5" s="1"/>
      <c r="T5" s="1"/>
      <c r="U5" s="1"/>
      <c r="V5" s="1"/>
      <c r="W5" s="1"/>
      <c r="X5" s="1"/>
      <c r="Y5" s="1"/>
      <c r="Z5" s="1"/>
      <c r="AA5" s="1"/>
      <c r="AB5" s="1"/>
      <c r="AC5" s="1"/>
    </row>
    <row r="6" spans="3:29" ht="16.5" thickBot="1" x14ac:dyDescent="0.25">
      <c r="C6" s="2747" t="s">
        <v>871</v>
      </c>
      <c r="D6" s="41"/>
      <c r="E6" s="2747" t="s">
        <v>869</v>
      </c>
      <c r="F6" s="172"/>
      <c r="G6" s="2747" t="s">
        <v>870</v>
      </c>
      <c r="H6" s="5"/>
      <c r="I6" s="2780" t="s">
        <v>840</v>
      </c>
      <c r="J6" s="2781"/>
      <c r="K6" s="2742" t="s">
        <v>841</v>
      </c>
      <c r="L6" s="2743"/>
      <c r="N6" s="1804"/>
      <c r="O6" s="1"/>
      <c r="P6" s="1"/>
      <c r="Q6" s="1"/>
      <c r="R6" s="1"/>
      <c r="S6" s="1"/>
      <c r="T6" s="1"/>
      <c r="U6" s="1"/>
      <c r="V6" s="1"/>
      <c r="W6" s="1"/>
      <c r="X6" s="1"/>
      <c r="Y6" s="1"/>
      <c r="Z6" s="1"/>
      <c r="AA6" s="1"/>
      <c r="AB6" s="1"/>
      <c r="AC6" s="1"/>
    </row>
    <row r="7" spans="3:29" ht="26.25" thickBot="1" x14ac:dyDescent="0.25">
      <c r="C7" s="2748"/>
      <c r="D7" s="41"/>
      <c r="E7" s="2748"/>
      <c r="F7" s="172"/>
      <c r="G7" s="2748"/>
      <c r="H7" s="5"/>
      <c r="I7" s="2111" t="s">
        <v>868</v>
      </c>
      <c r="J7" s="2112" t="s">
        <v>867</v>
      </c>
      <c r="K7" s="2111" t="s">
        <v>868</v>
      </c>
      <c r="L7" s="2113" t="s">
        <v>867</v>
      </c>
      <c r="N7" s="1804"/>
      <c r="O7" s="1"/>
      <c r="P7" s="172"/>
      <c r="Q7" s="1"/>
      <c r="R7" s="1"/>
      <c r="S7" s="1"/>
      <c r="T7" s="1"/>
      <c r="U7" s="1"/>
      <c r="V7" s="1"/>
      <c r="W7" s="1"/>
      <c r="X7" s="1"/>
      <c r="Y7" s="1"/>
      <c r="Z7" s="1"/>
      <c r="AA7" s="1"/>
      <c r="AB7" s="1"/>
      <c r="AC7" s="1"/>
    </row>
    <row r="8" spans="3:29" ht="15.75" customHeight="1" thickBot="1" x14ac:dyDescent="0.25">
      <c r="G8" s="14"/>
      <c r="H8" s="5"/>
      <c r="I8" s="14"/>
      <c r="J8" s="14"/>
      <c r="K8" s="14"/>
      <c r="L8" s="14"/>
      <c r="M8" s="14"/>
      <c r="N8" s="14"/>
    </row>
    <row r="9" spans="3:29" ht="17.100000000000001" customHeight="1" x14ac:dyDescent="0.2">
      <c r="C9" s="2114"/>
      <c r="E9" s="2744" t="s">
        <v>840</v>
      </c>
      <c r="G9" s="2670"/>
      <c r="H9" s="5"/>
      <c r="I9" s="2127"/>
      <c r="J9" s="2128"/>
      <c r="K9" s="2770"/>
      <c r="L9" s="2771"/>
      <c r="N9" s="14"/>
      <c r="O9" s="1"/>
      <c r="R9" s="1"/>
      <c r="S9" s="1"/>
      <c r="T9" s="1"/>
      <c r="U9" s="1"/>
      <c r="V9" s="1"/>
      <c r="W9" s="1"/>
      <c r="X9" s="1"/>
      <c r="Y9" s="1"/>
      <c r="Z9" s="1"/>
      <c r="AA9" s="1"/>
      <c r="AB9" s="1"/>
      <c r="AC9" s="1"/>
    </row>
    <row r="10" spans="3:29" ht="17.100000000000001" customHeight="1" x14ac:dyDescent="0.2">
      <c r="C10" s="2115"/>
      <c r="E10" s="2745"/>
      <c r="G10" s="2671"/>
      <c r="H10" s="5"/>
      <c r="I10" s="2134"/>
      <c r="J10" s="2135"/>
      <c r="K10" s="2772"/>
      <c r="L10" s="2773"/>
      <c r="O10" s="1"/>
      <c r="R10" s="1"/>
      <c r="S10" s="1"/>
      <c r="T10" s="1"/>
      <c r="U10" s="1"/>
      <c r="V10" s="1"/>
      <c r="W10" s="1"/>
      <c r="X10" s="1"/>
      <c r="Y10" s="1"/>
      <c r="Z10" s="1"/>
      <c r="AA10" s="1"/>
      <c r="AB10" s="1"/>
      <c r="AC10" s="1"/>
    </row>
    <row r="11" spans="3:29" ht="17.100000000000001" customHeight="1" thickBot="1" x14ac:dyDescent="0.25">
      <c r="C11" s="2116" t="s">
        <v>839</v>
      </c>
      <c r="E11" s="2749"/>
      <c r="G11" s="2131"/>
      <c r="H11" s="5"/>
      <c r="I11" s="2151"/>
      <c r="J11" s="2152"/>
      <c r="K11" s="2151"/>
      <c r="L11" s="2150"/>
      <c r="O11" s="1"/>
      <c r="R11" s="1"/>
      <c r="S11" s="1"/>
      <c r="T11" s="1"/>
      <c r="U11" s="1"/>
      <c r="V11" s="1"/>
      <c r="W11" s="1"/>
      <c r="X11" s="1"/>
      <c r="Y11" s="1"/>
      <c r="Z11" s="1"/>
      <c r="AA11" s="1"/>
      <c r="AB11" s="1"/>
      <c r="AC11" s="1"/>
    </row>
    <row r="12" spans="3:29" s="5" customFormat="1" ht="6.75" customHeight="1" thickBot="1" x14ac:dyDescent="0.25">
      <c r="C12" s="2115"/>
      <c r="E12" s="1835"/>
      <c r="F12" s="14"/>
      <c r="G12" s="1109"/>
      <c r="I12" s="1109"/>
      <c r="J12" s="1109"/>
      <c r="K12" s="1109"/>
      <c r="L12" s="1109"/>
    </row>
    <row r="13" spans="3:29" ht="17.100000000000001" customHeight="1" x14ac:dyDescent="0.2">
      <c r="C13" s="2117" t="e">
        <f>SUM(I9:L15)/SUM(I9:L38)</f>
        <v>#DIV/0!</v>
      </c>
      <c r="E13" s="2744" t="s">
        <v>841</v>
      </c>
      <c r="G13" s="2129"/>
      <c r="H13" s="5"/>
      <c r="I13" s="2107"/>
      <c r="J13" s="2108"/>
      <c r="K13" s="2127"/>
      <c r="L13" s="2154"/>
      <c r="O13" s="172"/>
      <c r="Q13" s="1"/>
      <c r="R13" s="1"/>
      <c r="S13" s="1"/>
      <c r="T13" s="1"/>
      <c r="U13" s="1"/>
      <c r="V13" s="1"/>
      <c r="W13" s="1"/>
      <c r="X13" s="1"/>
      <c r="Y13" s="1"/>
      <c r="Z13" s="1"/>
      <c r="AA13" s="1"/>
      <c r="AB13" s="1"/>
      <c r="AC13" s="1"/>
    </row>
    <row r="14" spans="3:29" ht="17.100000000000001" customHeight="1" x14ac:dyDescent="0.2">
      <c r="C14" s="2118"/>
      <c r="E14" s="2745"/>
      <c r="G14" s="2130"/>
      <c r="H14" s="5"/>
      <c r="I14" s="2153"/>
      <c r="J14" s="1805"/>
      <c r="K14" s="2134"/>
      <c r="L14" s="2057"/>
      <c r="O14" s="1"/>
      <c r="Q14" s="1"/>
      <c r="R14" s="1"/>
      <c r="S14" s="1"/>
      <c r="T14" s="1"/>
      <c r="U14" s="1"/>
      <c r="V14" s="1"/>
      <c r="W14" s="1"/>
      <c r="X14" s="1"/>
      <c r="Y14" s="1"/>
      <c r="Z14" s="1"/>
      <c r="AA14" s="1"/>
      <c r="AB14" s="1"/>
      <c r="AC14" s="1"/>
    </row>
    <row r="15" spans="3:29" ht="17.100000000000001" customHeight="1" thickBot="1" x14ac:dyDescent="0.25">
      <c r="C15" s="2119"/>
      <c r="E15" s="2749"/>
      <c r="G15" s="2131"/>
      <c r="H15" s="5"/>
      <c r="I15" s="2151"/>
      <c r="J15" s="2152"/>
      <c r="K15" s="2155"/>
      <c r="L15" s="2152"/>
      <c r="O15" s="1"/>
      <c r="P15" s="1"/>
      <c r="Q15" s="1"/>
      <c r="R15" s="1"/>
      <c r="S15" s="1"/>
      <c r="T15" s="1"/>
      <c r="U15" s="1"/>
      <c r="V15" s="1"/>
      <c r="W15" s="1"/>
      <c r="X15" s="1"/>
      <c r="Y15" s="1"/>
      <c r="Z15" s="1"/>
      <c r="AA15" s="1"/>
      <c r="AB15" s="1"/>
      <c r="AC15" s="1"/>
    </row>
    <row r="16" spans="3:29" s="1913" customFormat="1" ht="8.25" customHeight="1" x14ac:dyDescent="0.2">
      <c r="E16" s="1914"/>
      <c r="F16" s="14"/>
      <c r="H16" s="5"/>
    </row>
    <row r="17" spans="3:29" s="5" customFormat="1" ht="6" customHeight="1" thickBot="1" x14ac:dyDescent="0.25">
      <c r="E17" s="1861"/>
      <c r="F17" s="14"/>
      <c r="G17" s="1109"/>
      <c r="I17" s="1109"/>
      <c r="J17" s="1109"/>
      <c r="K17" s="1109"/>
      <c r="L17" s="1109"/>
    </row>
    <row r="18" spans="3:29" ht="17.100000000000001" customHeight="1" x14ac:dyDescent="0.2">
      <c r="C18" s="2120"/>
      <c r="E18" s="2744" t="s">
        <v>953</v>
      </c>
      <c r="G18" s="2129"/>
      <c r="H18" s="5"/>
      <c r="I18" s="2136"/>
      <c r="J18" s="2148"/>
      <c r="K18" s="2107"/>
      <c r="L18" s="2108"/>
      <c r="O18" s="1"/>
      <c r="P18" s="1"/>
      <c r="Q18" s="1"/>
      <c r="R18" s="1"/>
      <c r="S18" s="1"/>
      <c r="T18" s="1"/>
      <c r="U18" s="1"/>
      <c r="V18" s="1"/>
      <c r="W18" s="1"/>
      <c r="X18" s="1"/>
      <c r="Y18" s="1"/>
      <c r="Z18" s="1"/>
      <c r="AA18" s="1"/>
      <c r="AB18" s="1"/>
      <c r="AC18" s="1"/>
    </row>
    <row r="19" spans="3:29" ht="17.100000000000001" customHeight="1" x14ac:dyDescent="0.2">
      <c r="C19" s="2115"/>
      <c r="E19" s="2745"/>
      <c r="G19" s="2130"/>
      <c r="H19" s="5"/>
      <c r="I19" s="2134"/>
      <c r="J19" s="2135"/>
      <c r="K19" s="2153"/>
      <c r="L19" s="1805"/>
      <c r="O19" s="1"/>
      <c r="P19" s="1"/>
      <c r="Q19" s="1"/>
      <c r="R19" s="1"/>
      <c r="S19" s="1"/>
      <c r="T19" s="1"/>
      <c r="U19" s="1"/>
      <c r="V19" s="1"/>
      <c r="W19" s="1"/>
      <c r="X19" s="1"/>
      <c r="Y19" s="1"/>
      <c r="Z19" s="1"/>
      <c r="AA19" s="1"/>
      <c r="AB19" s="1"/>
      <c r="AC19" s="1"/>
    </row>
    <row r="20" spans="3:29" ht="17.100000000000001" customHeight="1" thickBot="1" x14ac:dyDescent="0.25">
      <c r="C20" s="2115"/>
      <c r="E20" s="2749"/>
      <c r="G20" s="2131"/>
      <c r="H20" s="5"/>
      <c r="I20" s="2151"/>
      <c r="J20" s="2152"/>
      <c r="K20" s="2151"/>
      <c r="L20" s="2152"/>
      <c r="N20" s="1804"/>
      <c r="O20" s="1"/>
      <c r="P20" s="1"/>
      <c r="Q20" s="1"/>
      <c r="R20" s="1"/>
      <c r="S20" s="1"/>
      <c r="T20" s="1"/>
      <c r="U20" s="1"/>
      <c r="V20" s="1"/>
      <c r="W20" s="1"/>
      <c r="X20" s="1"/>
      <c r="Y20" s="1"/>
      <c r="Z20" s="1"/>
      <c r="AA20" s="1"/>
      <c r="AB20" s="1"/>
      <c r="AC20" s="1"/>
    </row>
    <row r="21" spans="3:29" s="5" customFormat="1" ht="8.25" customHeight="1" thickBot="1" x14ac:dyDescent="0.25">
      <c r="C21" s="2115"/>
      <c r="E21" s="1862"/>
      <c r="F21" s="14"/>
      <c r="G21" s="1109"/>
      <c r="I21" s="1109"/>
      <c r="J21" s="1109"/>
      <c r="K21" s="1109"/>
      <c r="L21" s="1109"/>
    </row>
    <row r="22" spans="3:29" s="5" customFormat="1" ht="17.100000000000001" customHeight="1" x14ac:dyDescent="0.2">
      <c r="C22" s="2116" t="s">
        <v>842</v>
      </c>
      <c r="E22" s="2744" t="s">
        <v>982</v>
      </c>
      <c r="F22" s="14"/>
      <c r="G22" s="2126"/>
      <c r="I22" s="2127"/>
      <c r="J22" s="2154"/>
      <c r="K22" s="2139">
        <f>I22</f>
        <v>0</v>
      </c>
      <c r="L22" s="2154"/>
    </row>
    <row r="23" spans="3:29" s="5" customFormat="1" ht="17.100000000000001" customHeight="1" x14ac:dyDescent="0.2">
      <c r="C23" s="2115"/>
      <c r="E23" s="2745"/>
      <c r="F23" s="14"/>
      <c r="G23" s="2132"/>
      <c r="I23" s="2124"/>
      <c r="J23" s="2057"/>
      <c r="K23" s="2140">
        <f>I23</f>
        <v>0</v>
      </c>
      <c r="L23" s="2057"/>
    </row>
    <row r="24" spans="3:29" s="5" customFormat="1" ht="17.100000000000001" customHeight="1" thickBot="1" x14ac:dyDescent="0.25">
      <c r="C24" s="2117" t="e">
        <f>SUM(I18:L28)/SUM(I9:L38)</f>
        <v>#DIV/0!</v>
      </c>
      <c r="E24" s="2749"/>
      <c r="F24" s="14"/>
      <c r="G24" s="2137"/>
      <c r="I24" s="2138"/>
      <c r="J24" s="2133"/>
      <c r="K24" s="2141">
        <f>I24</f>
        <v>0</v>
      </c>
      <c r="L24" s="2133"/>
    </row>
    <row r="25" spans="3:29" s="5" customFormat="1" ht="9.75" customHeight="1" thickBot="1" x14ac:dyDescent="0.25">
      <c r="C25" s="2115"/>
      <c r="E25" s="1862"/>
      <c r="F25" s="14"/>
      <c r="G25" s="1109"/>
      <c r="I25" s="1109"/>
      <c r="J25" s="1109"/>
      <c r="K25" s="1109"/>
      <c r="L25" s="1109"/>
    </row>
    <row r="26" spans="3:29" s="5" customFormat="1" ht="17.100000000000001" customHeight="1" x14ac:dyDescent="0.2">
      <c r="C26" s="2115"/>
      <c r="E26" s="2744" t="s">
        <v>954</v>
      </c>
      <c r="F26" s="14"/>
      <c r="G26" s="2142" t="s">
        <v>578</v>
      </c>
      <c r="H26" s="2056"/>
      <c r="I26" s="2156"/>
      <c r="J26" s="2108"/>
      <c r="K26" s="2147"/>
      <c r="L26" s="2148"/>
    </row>
    <row r="27" spans="3:29" s="5" customFormat="1" ht="17.100000000000001" customHeight="1" x14ac:dyDescent="0.2">
      <c r="C27" s="2115"/>
      <c r="E27" s="2745"/>
      <c r="F27" s="14"/>
      <c r="G27" s="2143"/>
      <c r="I27" s="2153"/>
      <c r="J27" s="1805"/>
      <c r="K27" s="2149"/>
      <c r="L27" s="2157"/>
    </row>
    <row r="28" spans="3:29" s="5" customFormat="1" ht="17.100000000000001" customHeight="1" thickBot="1" x14ac:dyDescent="0.25">
      <c r="C28" s="2119"/>
      <c r="E28" s="2749"/>
      <c r="F28" s="14"/>
      <c r="G28" s="2125"/>
      <c r="I28" s="2151"/>
      <c r="J28" s="2152"/>
      <c r="K28" s="2138"/>
      <c r="L28" s="2133"/>
    </row>
    <row r="29" spans="3:29" s="5" customFormat="1" ht="12.75" customHeight="1" thickBot="1" x14ac:dyDescent="0.25">
      <c r="E29" s="1862"/>
      <c r="F29" s="14"/>
      <c r="G29" s="1109"/>
      <c r="I29" s="1109"/>
      <c r="J29" s="1109"/>
      <c r="K29" s="1109"/>
      <c r="L29" s="1109"/>
    </row>
    <row r="30" spans="3:29" s="5" customFormat="1" ht="17.100000000000001" customHeight="1" x14ac:dyDescent="0.2">
      <c r="C30" s="2782" t="s">
        <v>922</v>
      </c>
      <c r="E30" s="2744" t="s">
        <v>810</v>
      </c>
      <c r="F30" s="14"/>
      <c r="G30" s="2129"/>
      <c r="I30" s="2127"/>
      <c r="J30" s="2128"/>
      <c r="K30" s="2107"/>
      <c r="L30" s="2108"/>
    </row>
    <row r="31" spans="3:29" s="5" customFormat="1" ht="17.100000000000001" customHeight="1" x14ac:dyDescent="0.2">
      <c r="C31" s="2783"/>
      <c r="E31" s="2745"/>
      <c r="F31" s="14"/>
      <c r="G31" s="2143"/>
      <c r="I31" s="2134"/>
      <c r="J31" s="2135"/>
      <c r="K31" s="2159"/>
      <c r="L31" s="2158"/>
    </row>
    <row r="32" spans="3:29" ht="17.100000000000001" customHeight="1" thickBot="1" x14ac:dyDescent="0.25">
      <c r="C32" s="2783"/>
      <c r="E32" s="2746"/>
      <c r="G32" s="2125"/>
      <c r="H32" s="5"/>
      <c r="I32" s="2177"/>
      <c r="J32" s="2170"/>
      <c r="K32" s="2145"/>
      <c r="L32" s="2146"/>
      <c r="O32" s="1"/>
      <c r="P32" s="1"/>
      <c r="Q32" s="1"/>
      <c r="R32" s="1"/>
      <c r="S32" s="1"/>
      <c r="T32" s="1"/>
      <c r="U32" s="1"/>
      <c r="V32" s="1"/>
      <c r="W32" s="1"/>
      <c r="X32" s="1"/>
      <c r="Y32" s="1"/>
      <c r="Z32" s="1"/>
      <c r="AA32" s="1"/>
      <c r="AB32" s="1"/>
      <c r="AC32" s="1"/>
    </row>
    <row r="33" spans="3:29" ht="6.75" customHeight="1" thickBot="1" x14ac:dyDescent="0.25">
      <c r="C33" s="2783"/>
      <c r="E33" s="172"/>
      <c r="G33" s="14"/>
      <c r="H33" s="5"/>
      <c r="I33" s="14"/>
      <c r="J33" s="14"/>
      <c r="K33" s="14"/>
      <c r="L33" s="14"/>
      <c r="O33" s="1"/>
      <c r="P33" s="1"/>
      <c r="Q33" s="1"/>
      <c r="R33" s="1"/>
      <c r="S33" s="1"/>
      <c r="T33" s="1"/>
      <c r="U33" s="1"/>
      <c r="V33" s="1"/>
      <c r="W33" s="1"/>
      <c r="X33" s="1"/>
      <c r="Y33" s="1"/>
      <c r="Z33" s="1"/>
      <c r="AA33" s="1"/>
      <c r="AB33" s="1"/>
      <c r="AC33" s="1"/>
    </row>
    <row r="34" spans="3:29" ht="17.100000000000001" customHeight="1" x14ac:dyDescent="0.2">
      <c r="C34" s="2117" t="e">
        <f>SUM(I30:L35)/SUM(I9:L38)</f>
        <v>#DIV/0!</v>
      </c>
      <c r="E34" s="2744" t="s">
        <v>921</v>
      </c>
      <c r="G34" s="2129"/>
      <c r="H34" s="2029"/>
      <c r="I34" s="2127"/>
      <c r="J34" s="2128"/>
      <c r="K34" s="2163"/>
      <c r="L34" s="2164"/>
      <c r="O34" s="1"/>
      <c r="P34" s="1"/>
      <c r="Q34" s="1"/>
      <c r="R34" s="1"/>
      <c r="S34" s="1"/>
      <c r="T34" s="1"/>
      <c r="U34" s="1"/>
      <c r="V34" s="1"/>
      <c r="W34" s="1"/>
      <c r="X34" s="1"/>
      <c r="Y34" s="1"/>
      <c r="Z34" s="1"/>
      <c r="AA34" s="1"/>
      <c r="AB34" s="1"/>
      <c r="AC34" s="1"/>
    </row>
    <row r="35" spans="3:29" ht="17.100000000000001" customHeight="1" thickBot="1" x14ac:dyDescent="0.25">
      <c r="C35" s="2121"/>
      <c r="E35" s="2746"/>
      <c r="G35" s="2144"/>
      <c r="H35" s="1891"/>
      <c r="I35" s="2160"/>
      <c r="J35" s="2161"/>
      <c r="K35" s="2160"/>
      <c r="L35" s="2162"/>
      <c r="O35" s="1"/>
      <c r="P35" s="1"/>
      <c r="Q35" s="1"/>
      <c r="R35" s="1"/>
      <c r="S35" s="1"/>
      <c r="T35" s="1"/>
      <c r="U35" s="1"/>
      <c r="V35" s="1"/>
      <c r="W35" s="1"/>
      <c r="X35" s="1"/>
      <c r="Y35" s="1"/>
      <c r="Z35" s="1"/>
      <c r="AA35" s="1"/>
      <c r="AB35" s="1"/>
      <c r="AC35" s="1"/>
    </row>
    <row r="36" spans="3:29" ht="16.5" customHeight="1" thickBot="1" x14ac:dyDescent="0.25">
      <c r="G36" s="14"/>
      <c r="H36" s="5"/>
      <c r="I36" s="14"/>
      <c r="J36" s="14"/>
      <c r="K36" s="14"/>
      <c r="L36" s="14"/>
      <c r="O36" s="1"/>
      <c r="P36" s="1"/>
      <c r="Q36" s="1"/>
      <c r="R36" s="1"/>
      <c r="S36" s="1"/>
      <c r="T36" s="1"/>
      <c r="U36" s="1"/>
      <c r="V36" s="1"/>
      <c r="W36" s="1"/>
      <c r="X36" s="1"/>
      <c r="Y36" s="1"/>
      <c r="Z36" s="1"/>
      <c r="AA36" s="1"/>
      <c r="AB36" s="1"/>
      <c r="AC36" s="1"/>
    </row>
    <row r="37" spans="3:29" ht="15.75" x14ac:dyDescent="0.2">
      <c r="C37" s="2122" t="s">
        <v>983</v>
      </c>
      <c r="E37" s="2784"/>
      <c r="G37" s="2756"/>
      <c r="H37" s="5"/>
      <c r="I37" s="2750"/>
      <c r="J37" s="2752"/>
      <c r="K37" s="2750"/>
      <c r="L37" s="2754"/>
      <c r="O37" s="1"/>
      <c r="P37" s="1"/>
      <c r="Q37" s="1"/>
      <c r="R37" s="1"/>
      <c r="S37" s="1"/>
      <c r="T37" s="1"/>
      <c r="U37" s="1"/>
      <c r="V37" s="1"/>
      <c r="W37" s="1"/>
      <c r="X37" s="1"/>
      <c r="Y37" s="1"/>
      <c r="Z37" s="1"/>
      <c r="AA37" s="1"/>
      <c r="AB37" s="1"/>
      <c r="AC37" s="1"/>
    </row>
    <row r="38" spans="3:29" ht="16.5" thickBot="1" x14ac:dyDescent="0.25">
      <c r="C38" s="2123" t="e">
        <f>SUM(I37:L38)/SUM(I9:L38)</f>
        <v>#DIV/0!</v>
      </c>
      <c r="E38" s="2785"/>
      <c r="G38" s="2757"/>
      <c r="H38" s="14"/>
      <c r="I38" s="2751"/>
      <c r="J38" s="2753"/>
      <c r="K38" s="2751"/>
      <c r="L38" s="2755"/>
      <c r="M38" s="14"/>
      <c r="O38" s="1"/>
      <c r="P38" s="1"/>
      <c r="Q38" s="1"/>
      <c r="R38" s="1"/>
      <c r="S38" s="1"/>
      <c r="T38" s="1"/>
      <c r="U38" s="1"/>
      <c r="V38" s="1"/>
      <c r="W38" s="1"/>
      <c r="X38" s="1"/>
      <c r="Y38" s="1"/>
      <c r="Z38" s="1"/>
      <c r="AA38" s="1"/>
      <c r="AB38" s="1"/>
      <c r="AC38" s="1"/>
    </row>
    <row r="39" spans="3:29" s="1971" customFormat="1" ht="8.25" customHeight="1" x14ac:dyDescent="0.2">
      <c r="C39" s="2110"/>
    </row>
    <row r="40" spans="3:29" s="1971" customFormat="1" ht="12.75" customHeight="1" thickBot="1" x14ac:dyDescent="0.25"/>
    <row r="41" spans="3:29" s="1971" customFormat="1" ht="21.75" customHeight="1" thickBot="1" x14ac:dyDescent="0.25">
      <c r="I41" s="2780" t="s">
        <v>840</v>
      </c>
      <c r="J41" s="2781"/>
      <c r="K41" s="2742" t="s">
        <v>841</v>
      </c>
      <c r="L41" s="2743"/>
    </row>
    <row r="42" spans="3:29" s="1971" customFormat="1" ht="6" customHeight="1" thickBot="1" x14ac:dyDescent="0.25"/>
    <row r="43" spans="3:29" ht="26.25" customHeight="1" thickBot="1" x14ac:dyDescent="0.25">
      <c r="C43" s="2786" t="s">
        <v>984</v>
      </c>
      <c r="D43" s="2787"/>
      <c r="E43" s="2787"/>
      <c r="F43" s="2787"/>
      <c r="G43" s="2788"/>
      <c r="H43" s="5"/>
      <c r="I43" s="2789">
        <f>SUM(I8:I38)</f>
        <v>0</v>
      </c>
      <c r="J43" s="2790"/>
      <c r="K43" s="2791">
        <f>SUM(K8:K38)</f>
        <v>0</v>
      </c>
      <c r="L43" s="2790"/>
      <c r="M43" s="14"/>
      <c r="O43" s="1"/>
      <c r="P43" s="1"/>
      <c r="Q43" s="1"/>
      <c r="R43" s="1"/>
      <c r="S43" s="1"/>
      <c r="T43" s="1"/>
      <c r="U43" s="1"/>
      <c r="V43" s="1"/>
      <c r="W43" s="1"/>
      <c r="X43" s="1"/>
      <c r="Y43" s="1"/>
      <c r="Z43" s="1"/>
      <c r="AA43" s="1"/>
      <c r="AB43" s="1"/>
      <c r="AC43" s="1"/>
    </row>
    <row r="44" spans="3:29" ht="15.75" thickBot="1" x14ac:dyDescent="0.25">
      <c r="G44" s="14"/>
      <c r="H44" s="14"/>
      <c r="I44" s="14"/>
      <c r="J44" s="14"/>
      <c r="K44" s="14"/>
      <c r="L44" s="14"/>
      <c r="M44" s="14"/>
      <c r="N44" s="14"/>
    </row>
    <row r="45" spans="3:29" ht="16.5" customHeight="1" x14ac:dyDescent="0.2">
      <c r="C45" s="2777" t="s">
        <v>923</v>
      </c>
      <c r="D45" s="15"/>
      <c r="E45" s="2126" t="s">
        <v>893</v>
      </c>
      <c r="F45" s="5"/>
      <c r="G45" s="2126"/>
      <c r="H45" s="5"/>
      <c r="I45" s="2758" t="s">
        <v>955</v>
      </c>
      <c r="J45" s="2759"/>
      <c r="K45" s="2764" t="str">
        <f>IF(SUM(I43:L43)=0,"",MAX(I43:L43)/(MAX(I43:L43)+SUM(G45:G49)))</f>
        <v/>
      </c>
      <c r="L45" s="2765"/>
      <c r="N45" s="1804"/>
      <c r="O45" s="1"/>
      <c r="P45" s="1"/>
      <c r="Q45" s="1"/>
      <c r="R45" s="1"/>
      <c r="S45" s="1"/>
      <c r="T45" s="1"/>
      <c r="U45" s="1"/>
      <c r="V45" s="1"/>
      <c r="W45" s="1"/>
      <c r="X45" s="1"/>
      <c r="Y45" s="1"/>
      <c r="Z45" s="1"/>
      <c r="AA45" s="1"/>
      <c r="AB45" s="1"/>
      <c r="AC45" s="1"/>
    </row>
    <row r="46" spans="3:29" x14ac:dyDescent="0.2">
      <c r="C46" s="2778"/>
      <c r="D46" s="15"/>
      <c r="E46" s="2143" t="s">
        <v>915</v>
      </c>
      <c r="F46" s="5"/>
      <c r="G46" s="2132"/>
      <c r="H46" s="5"/>
      <c r="I46" s="2760"/>
      <c r="J46" s="2761"/>
      <c r="K46" s="2766"/>
      <c r="L46" s="2767"/>
      <c r="N46" s="1804"/>
      <c r="O46" s="1"/>
      <c r="P46" s="1"/>
      <c r="Q46" s="1"/>
      <c r="R46" s="1"/>
      <c r="S46" s="1"/>
      <c r="T46" s="1"/>
      <c r="U46" s="1"/>
      <c r="V46" s="1"/>
      <c r="W46" s="1"/>
      <c r="X46" s="1"/>
      <c r="Y46" s="1"/>
      <c r="Z46" s="1"/>
      <c r="AA46" s="1"/>
      <c r="AB46" s="1"/>
      <c r="AC46" s="1"/>
    </row>
    <row r="47" spans="3:29" x14ac:dyDescent="0.2">
      <c r="C47" s="2778"/>
      <c r="D47" s="15"/>
      <c r="E47" s="2143" t="s">
        <v>786</v>
      </c>
      <c r="F47" s="5"/>
      <c r="G47" s="2132"/>
      <c r="H47" s="5"/>
      <c r="I47" s="2760"/>
      <c r="J47" s="2761"/>
      <c r="K47" s="2766"/>
      <c r="L47" s="2767"/>
      <c r="R47" s="1"/>
      <c r="S47" s="1"/>
      <c r="T47" s="1"/>
      <c r="U47" s="1"/>
      <c r="V47" s="1"/>
      <c r="W47" s="1"/>
      <c r="X47" s="1"/>
      <c r="Y47" s="1"/>
      <c r="Z47" s="1"/>
      <c r="AA47" s="1"/>
      <c r="AB47" s="1"/>
      <c r="AC47" s="1"/>
    </row>
    <row r="48" spans="3:29" x14ac:dyDescent="0.2">
      <c r="C48" s="2778"/>
      <c r="D48" s="15"/>
      <c r="E48" s="2130"/>
      <c r="F48" s="5"/>
      <c r="G48" s="2132"/>
      <c r="H48" s="5"/>
      <c r="I48" s="2760"/>
      <c r="J48" s="2761"/>
      <c r="K48" s="2766"/>
      <c r="L48" s="2767"/>
      <c r="R48" s="1"/>
      <c r="S48" s="1"/>
      <c r="T48" s="1"/>
      <c r="U48" s="1"/>
      <c r="V48" s="1"/>
      <c r="W48" s="1"/>
      <c r="X48" s="1"/>
      <c r="Y48" s="1"/>
      <c r="Z48" s="1"/>
      <c r="AA48" s="1"/>
      <c r="AB48" s="1"/>
      <c r="AC48" s="1"/>
    </row>
    <row r="49" spans="2:29" ht="15.75" thickBot="1" x14ac:dyDescent="0.25">
      <c r="C49" s="2779"/>
      <c r="D49" s="15"/>
      <c r="E49" s="2137"/>
      <c r="F49" s="5"/>
      <c r="G49" s="2137"/>
      <c r="H49" s="5"/>
      <c r="I49" s="2762"/>
      <c r="J49" s="2763"/>
      <c r="K49" s="2768"/>
      <c r="L49" s="2769"/>
      <c r="R49" s="1"/>
      <c r="S49" s="1"/>
      <c r="T49" s="1"/>
      <c r="U49" s="1"/>
      <c r="V49" s="1"/>
      <c r="W49" s="1"/>
      <c r="X49" s="1"/>
      <c r="Y49" s="1"/>
      <c r="Z49" s="1"/>
      <c r="AA49" s="1"/>
      <c r="AB49" s="1"/>
      <c r="AC49" s="1"/>
    </row>
    <row r="50" spans="2:29" ht="7.5" customHeight="1" x14ac:dyDescent="0.2">
      <c r="C50" s="15"/>
      <c r="D50" s="15"/>
      <c r="E50" s="5"/>
      <c r="F50" s="5"/>
      <c r="G50" s="14"/>
      <c r="H50" s="14"/>
      <c r="I50" s="14"/>
      <c r="J50" s="14"/>
      <c r="K50" s="14"/>
      <c r="L50" s="14"/>
      <c r="R50" s="1"/>
      <c r="S50" s="1"/>
      <c r="T50" s="1"/>
      <c r="U50" s="1"/>
      <c r="V50" s="1"/>
      <c r="W50" s="1"/>
      <c r="X50" s="1"/>
      <c r="Y50" s="1"/>
      <c r="Z50" s="1"/>
      <c r="AA50" s="1"/>
      <c r="AB50" s="1"/>
      <c r="AC50" s="1"/>
    </row>
    <row r="51" spans="2:29" ht="7.5" customHeight="1" thickBot="1" x14ac:dyDescent="0.25">
      <c r="C51" s="15"/>
      <c r="D51" s="15"/>
      <c r="E51" s="5"/>
      <c r="F51" s="5"/>
      <c r="H51" s="5"/>
      <c r="R51" s="1"/>
      <c r="S51" s="1"/>
      <c r="T51" s="1"/>
      <c r="U51" s="1"/>
      <c r="V51" s="1"/>
      <c r="W51" s="1"/>
      <c r="X51" s="1"/>
      <c r="Y51" s="1"/>
      <c r="Z51" s="1"/>
      <c r="AA51" s="1"/>
      <c r="AB51" s="1"/>
      <c r="AC51" s="1"/>
    </row>
    <row r="52" spans="2:29" ht="15.75" thickBot="1" x14ac:dyDescent="0.25">
      <c r="B52" s="15"/>
      <c r="C52" s="1915"/>
      <c r="D52" s="1916"/>
      <c r="E52" s="1887"/>
      <c r="F52" s="1887"/>
      <c r="G52" s="1917"/>
      <c r="H52" s="1918"/>
      <c r="R52" s="1"/>
      <c r="S52" s="1"/>
      <c r="T52" s="1"/>
      <c r="U52" s="1"/>
      <c r="V52" s="1"/>
      <c r="W52" s="1"/>
      <c r="X52" s="1"/>
      <c r="Y52" s="1"/>
      <c r="Z52" s="1"/>
      <c r="AA52" s="1"/>
      <c r="AB52" s="1"/>
      <c r="AC52" s="1"/>
    </row>
    <row r="53" spans="2:29" x14ac:dyDescent="0.2">
      <c r="B53" s="15"/>
      <c r="C53" s="2"/>
      <c r="D53" s="15"/>
      <c r="E53" s="5"/>
      <c r="F53" s="1919" t="s">
        <v>880</v>
      </c>
      <c r="G53" s="2166"/>
      <c r="H53" s="1920"/>
      <c r="R53" s="1"/>
      <c r="S53" s="1"/>
      <c r="T53" s="1"/>
      <c r="U53" s="1"/>
      <c r="V53" s="1"/>
      <c r="W53" s="1"/>
      <c r="X53" s="1"/>
      <c r="Y53" s="1"/>
      <c r="Z53" s="1"/>
      <c r="AA53" s="1"/>
      <c r="AB53" s="1"/>
      <c r="AC53" s="1"/>
    </row>
    <row r="54" spans="2:29" ht="15.75" x14ac:dyDescent="0.25">
      <c r="B54" s="15"/>
      <c r="C54" s="3"/>
      <c r="D54" s="25"/>
      <c r="E54" s="15"/>
      <c r="F54" s="1888" t="s">
        <v>881</v>
      </c>
      <c r="G54" s="2169"/>
      <c r="H54" s="1920"/>
      <c r="J54" s="1865"/>
      <c r="N54" s="1804"/>
      <c r="O54" s="1"/>
      <c r="P54" s="1"/>
      <c r="Q54" s="1"/>
      <c r="R54" s="1"/>
      <c r="S54" s="1"/>
      <c r="T54" s="1"/>
      <c r="U54" s="1"/>
      <c r="V54" s="1"/>
      <c r="W54" s="1"/>
      <c r="X54" s="1"/>
      <c r="Y54" s="1"/>
      <c r="Z54" s="1"/>
      <c r="AA54" s="1"/>
      <c r="AB54" s="1"/>
      <c r="AC54" s="1"/>
    </row>
    <row r="55" spans="2:29" ht="16.5" thickBot="1" x14ac:dyDescent="0.3">
      <c r="B55" s="15"/>
      <c r="C55" s="3"/>
      <c r="D55" s="25"/>
      <c r="E55" s="15"/>
      <c r="F55" s="1888" t="s">
        <v>882</v>
      </c>
      <c r="G55" s="2165"/>
      <c r="H55" s="1920"/>
      <c r="J55" s="1865"/>
      <c r="N55" s="1804"/>
      <c r="O55" s="1"/>
      <c r="P55" s="1"/>
      <c r="Q55" s="1"/>
      <c r="R55" s="1"/>
      <c r="S55" s="1"/>
      <c r="T55" s="1"/>
      <c r="U55" s="1"/>
      <c r="V55" s="1"/>
      <c r="W55" s="1"/>
      <c r="X55" s="1"/>
      <c r="Y55" s="1"/>
      <c r="Z55" s="1"/>
      <c r="AA55" s="1"/>
      <c r="AB55" s="1"/>
      <c r="AC55" s="1"/>
    </row>
    <row r="56" spans="2:29" ht="15.75" thickBot="1" x14ac:dyDescent="0.25">
      <c r="B56" s="15"/>
      <c r="C56" s="16"/>
      <c r="D56" s="64"/>
      <c r="E56" s="64"/>
      <c r="F56" s="64"/>
      <c r="G56" s="1921"/>
      <c r="H56" s="1922"/>
      <c r="N56" s="1804"/>
      <c r="O56" s="1"/>
      <c r="P56" s="1"/>
      <c r="Q56" s="1"/>
      <c r="R56" s="1"/>
      <c r="S56" s="1"/>
      <c r="T56" s="1"/>
      <c r="U56" s="1"/>
      <c r="V56" s="1"/>
      <c r="W56" s="1"/>
      <c r="X56" s="1"/>
      <c r="Y56" s="1"/>
      <c r="Z56" s="1"/>
      <c r="AA56" s="1"/>
      <c r="AB56" s="1"/>
      <c r="AC56" s="1"/>
    </row>
    <row r="57" spans="2:29" x14ac:dyDescent="0.2">
      <c r="M57" s="1803"/>
      <c r="O57" s="1803"/>
      <c r="P57" s="1803"/>
      <c r="Q57" s="1803"/>
      <c r="R57" s="1"/>
      <c r="S57" s="1"/>
      <c r="T57" s="1"/>
      <c r="U57" s="1"/>
      <c r="V57" s="1"/>
      <c r="W57" s="1"/>
      <c r="X57" s="1"/>
      <c r="Y57" s="1"/>
      <c r="Z57" s="1"/>
      <c r="AA57" s="1"/>
      <c r="AB57" s="1"/>
      <c r="AC57" s="1"/>
    </row>
    <row r="58" spans="2:29" hidden="1" x14ac:dyDescent="0.2">
      <c r="M58" s="1803"/>
      <c r="O58" s="1803"/>
      <c r="P58" s="1803"/>
      <c r="Q58" s="1803"/>
      <c r="R58" s="1"/>
      <c r="S58" s="1"/>
      <c r="T58" s="1"/>
      <c r="U58" s="1"/>
      <c r="V58" s="1"/>
      <c r="W58" s="1"/>
      <c r="X58" s="1"/>
      <c r="Y58" s="1"/>
      <c r="Z58" s="1"/>
      <c r="AA58" s="1"/>
      <c r="AB58" s="1"/>
      <c r="AC58" s="1"/>
    </row>
    <row r="59" spans="2:29" hidden="1" x14ac:dyDescent="0.2">
      <c r="M59" s="1803"/>
      <c r="O59" s="1803"/>
      <c r="P59" s="1803"/>
      <c r="Q59" s="1803"/>
      <c r="R59" s="1"/>
      <c r="S59" s="1"/>
      <c r="T59" s="1"/>
      <c r="U59" s="1"/>
      <c r="V59" s="1"/>
      <c r="W59" s="1"/>
      <c r="X59" s="1"/>
      <c r="Y59" s="1"/>
      <c r="Z59" s="1"/>
      <c r="AA59" s="1"/>
      <c r="AB59" s="1"/>
      <c r="AC59" s="1"/>
    </row>
    <row r="60" spans="2:29" hidden="1" x14ac:dyDescent="0.2">
      <c r="E60" s="3"/>
      <c r="F60" s="3"/>
      <c r="G60" s="1923" t="s">
        <v>577</v>
      </c>
      <c r="H60" s="1924"/>
      <c r="I60" s="1925"/>
      <c r="J60" s="1926"/>
      <c r="K60" s="1109"/>
      <c r="L60" s="1805"/>
      <c r="M60" s="1803"/>
      <c r="O60" s="1803"/>
      <c r="P60" s="1803"/>
      <c r="Q60" s="1803"/>
      <c r="R60" s="1"/>
      <c r="S60" s="1"/>
      <c r="T60" s="1"/>
      <c r="U60" s="1"/>
      <c r="V60" s="1"/>
      <c r="W60" s="1"/>
      <c r="X60" s="1"/>
      <c r="Y60" s="1"/>
      <c r="Z60" s="1"/>
      <c r="AA60" s="1"/>
      <c r="AB60" s="1"/>
      <c r="AC60" s="1"/>
    </row>
    <row r="61" spans="2:29" hidden="1" x14ac:dyDescent="0.2">
      <c r="E61" s="3"/>
      <c r="F61" s="3"/>
      <c r="G61" s="1927"/>
      <c r="H61" s="1928"/>
      <c r="I61" s="1929" t="s">
        <v>26</v>
      </c>
      <c r="J61" s="1930" t="s">
        <v>27</v>
      </c>
      <c r="K61" s="1109"/>
      <c r="L61" s="1805"/>
      <c r="M61" s="1803"/>
      <c r="O61" s="1803"/>
      <c r="P61" s="1803"/>
      <c r="Q61" s="1803"/>
      <c r="R61" s="1"/>
      <c r="S61" s="1"/>
      <c r="T61" s="1"/>
      <c r="U61" s="1"/>
      <c r="V61" s="1"/>
      <c r="W61" s="1"/>
      <c r="X61" s="1"/>
      <c r="Y61" s="1"/>
      <c r="Z61" s="1"/>
      <c r="AA61" s="1"/>
      <c r="AB61" s="1"/>
      <c r="AC61" s="1"/>
    </row>
    <row r="62" spans="2:29" hidden="1" x14ac:dyDescent="0.2">
      <c r="E62" s="3"/>
      <c r="F62" s="3"/>
      <c r="G62" s="1931">
        <f>G18</f>
        <v>0</v>
      </c>
      <c r="H62" s="1932"/>
      <c r="I62" s="1933">
        <f>I18+J18</f>
        <v>0</v>
      </c>
      <c r="J62" s="1934"/>
      <c r="K62" s="1109"/>
      <c r="L62" s="1805"/>
      <c r="M62" s="1803"/>
      <c r="O62" s="1803"/>
      <c r="P62" s="1803"/>
      <c r="Q62" s="1803"/>
      <c r="R62" s="1"/>
      <c r="S62" s="1"/>
      <c r="T62" s="1"/>
      <c r="U62" s="1"/>
      <c r="V62" s="1"/>
      <c r="W62" s="1"/>
      <c r="X62" s="1"/>
      <c r="Y62" s="1"/>
      <c r="Z62" s="1"/>
      <c r="AA62" s="1"/>
      <c r="AB62" s="1"/>
      <c r="AC62" s="1"/>
    </row>
    <row r="63" spans="2:29" hidden="1" x14ac:dyDescent="0.2">
      <c r="E63" s="3"/>
      <c r="F63" s="3"/>
      <c r="G63" s="1931">
        <f>G19</f>
        <v>0</v>
      </c>
      <c r="H63" s="1932"/>
      <c r="I63" s="1933">
        <f>I19+J19</f>
        <v>0</v>
      </c>
      <c r="J63" s="1934"/>
      <c r="K63" s="1109"/>
      <c r="L63" s="1805"/>
      <c r="M63" s="1803"/>
      <c r="O63" s="1803"/>
      <c r="P63" s="1803"/>
      <c r="Q63" s="1803"/>
      <c r="R63" s="1"/>
      <c r="S63" s="1"/>
      <c r="T63" s="1"/>
      <c r="U63" s="1"/>
      <c r="V63" s="1"/>
      <c r="W63" s="1"/>
      <c r="X63" s="1"/>
      <c r="Y63" s="1"/>
      <c r="Z63" s="1"/>
      <c r="AA63" s="1"/>
      <c r="AB63" s="1"/>
      <c r="AC63" s="1"/>
    </row>
    <row r="64" spans="2:29" ht="15.75" hidden="1" thickBot="1" x14ac:dyDescent="0.25">
      <c r="E64" s="3"/>
      <c r="F64" s="3"/>
      <c r="G64" s="1931">
        <f>G20</f>
        <v>0</v>
      </c>
      <c r="H64" s="1932"/>
      <c r="I64" s="1933">
        <f>I20+J20</f>
        <v>0</v>
      </c>
      <c r="J64" s="1934"/>
      <c r="K64" s="1935" t="s">
        <v>145</v>
      </c>
      <c r="L64" s="1827">
        <f>SUM(I62:I64)</f>
        <v>0</v>
      </c>
      <c r="M64" s="1803"/>
      <c r="O64" s="1803"/>
      <c r="P64" s="1803"/>
      <c r="Q64" s="1803"/>
      <c r="R64" s="1"/>
      <c r="S64" s="1"/>
      <c r="T64" s="1"/>
      <c r="U64" s="1"/>
      <c r="V64" s="1"/>
      <c r="W64" s="1"/>
      <c r="X64" s="1"/>
      <c r="Y64" s="1"/>
      <c r="Z64" s="1"/>
      <c r="AA64" s="1"/>
      <c r="AB64" s="1"/>
      <c r="AC64" s="1"/>
    </row>
    <row r="65" spans="5:29" hidden="1" x14ac:dyDescent="0.2">
      <c r="E65" s="3"/>
      <c r="F65" s="3"/>
      <c r="G65" s="1931">
        <f>G22</f>
        <v>0</v>
      </c>
      <c r="H65" s="1932"/>
      <c r="I65" s="1933">
        <f>I22+J22</f>
        <v>0</v>
      </c>
      <c r="J65" s="1934">
        <f>I65</f>
        <v>0</v>
      </c>
      <c r="K65" s="1109"/>
      <c r="L65" s="1805"/>
      <c r="M65" s="1803"/>
      <c r="O65" s="1803"/>
      <c r="P65" s="1803"/>
      <c r="Q65" s="1803"/>
      <c r="R65" s="1"/>
      <c r="S65" s="1"/>
      <c r="T65" s="1"/>
      <c r="U65" s="1"/>
      <c r="V65" s="1"/>
      <c r="W65" s="1"/>
      <c r="X65" s="1"/>
      <c r="Y65" s="1"/>
      <c r="Z65" s="1"/>
      <c r="AA65" s="1"/>
      <c r="AB65" s="1"/>
      <c r="AC65" s="1"/>
    </row>
    <row r="66" spans="5:29" hidden="1" x14ac:dyDescent="0.2">
      <c r="E66" s="3"/>
      <c r="F66" s="3"/>
      <c r="G66" s="1931">
        <f>G23</f>
        <v>0</v>
      </c>
      <c r="H66" s="1932"/>
      <c r="I66" s="1933">
        <f>I23+J23</f>
        <v>0</v>
      </c>
      <c r="J66" s="1934">
        <f>I66</f>
        <v>0</v>
      </c>
      <c r="K66" s="1109"/>
      <c r="L66" s="1805"/>
      <c r="M66" s="1803"/>
      <c r="O66" s="1803"/>
      <c r="P66" s="1803"/>
      <c r="Q66" s="1803"/>
      <c r="R66" s="1"/>
      <c r="S66" s="1"/>
      <c r="T66" s="1"/>
      <c r="U66" s="1"/>
      <c r="V66" s="1"/>
      <c r="W66" s="1"/>
      <c r="X66" s="1"/>
      <c r="Y66" s="1"/>
      <c r="Z66" s="1"/>
      <c r="AA66" s="1"/>
      <c r="AB66" s="1"/>
      <c r="AC66" s="1"/>
    </row>
    <row r="67" spans="5:29" hidden="1" x14ac:dyDescent="0.2">
      <c r="E67" s="3"/>
      <c r="F67" s="3"/>
      <c r="G67" s="1931" t="str">
        <f>G26</f>
        <v>sobressemeadura</v>
      </c>
      <c r="H67" s="1932"/>
      <c r="I67" s="1933"/>
      <c r="J67" s="1934"/>
      <c r="K67" s="1109"/>
      <c r="L67" s="1805"/>
      <c r="M67" s="1803"/>
      <c r="O67" s="1803"/>
      <c r="P67" s="1803"/>
      <c r="Q67" s="1803"/>
      <c r="R67" s="1"/>
      <c r="S67" s="1"/>
      <c r="T67" s="1"/>
      <c r="U67" s="1"/>
      <c r="V67" s="1"/>
      <c r="W67" s="1"/>
      <c r="X67" s="1"/>
      <c r="Y67" s="1"/>
      <c r="Z67" s="1"/>
      <c r="AA67" s="1"/>
      <c r="AB67" s="1"/>
      <c r="AC67" s="1"/>
    </row>
    <row r="68" spans="5:29" hidden="1" x14ac:dyDescent="0.2">
      <c r="E68" s="3"/>
      <c r="F68" s="3"/>
      <c r="G68" s="1931">
        <f>G27</f>
        <v>0</v>
      </c>
      <c r="H68" s="1932"/>
      <c r="I68" s="1933"/>
      <c r="J68" s="1934">
        <f>K27+L27</f>
        <v>0</v>
      </c>
      <c r="K68" s="1109"/>
      <c r="L68" s="1805"/>
      <c r="M68" s="1803"/>
      <c r="O68" s="1803"/>
      <c r="P68" s="1803"/>
      <c r="Q68" s="1803"/>
      <c r="R68" s="1"/>
      <c r="S68" s="1"/>
      <c r="T68" s="1"/>
      <c r="U68" s="1"/>
      <c r="V68" s="1"/>
      <c r="W68" s="1"/>
      <c r="X68" s="1"/>
      <c r="Y68" s="1"/>
      <c r="Z68" s="1"/>
      <c r="AA68" s="1"/>
      <c r="AB68" s="1"/>
      <c r="AC68" s="1"/>
    </row>
    <row r="69" spans="5:29" ht="15.75" hidden="1" thickBot="1" x14ac:dyDescent="0.25">
      <c r="E69" s="3"/>
      <c r="F69" s="3"/>
      <c r="G69" s="1936">
        <f>G28</f>
        <v>0</v>
      </c>
      <c r="H69" s="1937"/>
      <c r="I69" s="1938"/>
      <c r="J69" s="1934">
        <f>K28+L28</f>
        <v>0</v>
      </c>
      <c r="K69" s="1935" t="s">
        <v>146</v>
      </c>
      <c r="L69" s="1827">
        <f>J67+J68+J69</f>
        <v>0</v>
      </c>
      <c r="M69" s="1803"/>
      <c r="O69" s="1803"/>
      <c r="P69" s="1803"/>
      <c r="Q69" s="1803"/>
      <c r="R69" s="1"/>
      <c r="S69" s="1"/>
      <c r="T69" s="1"/>
      <c r="U69" s="1"/>
      <c r="V69" s="1"/>
      <c r="W69" s="1"/>
      <c r="X69" s="1"/>
      <c r="Y69" s="1"/>
      <c r="Z69" s="1"/>
      <c r="AA69" s="1"/>
      <c r="AB69" s="1"/>
      <c r="AC69" s="1"/>
    </row>
    <row r="70" spans="5:29" ht="15.75" hidden="1" x14ac:dyDescent="0.2">
      <c r="E70" s="3"/>
      <c r="F70" s="3"/>
      <c r="G70" s="1939" t="s">
        <v>28</v>
      </c>
      <c r="H70" s="1940"/>
      <c r="I70" s="1941">
        <f>SUM(I62:I69)</f>
        <v>0</v>
      </c>
      <c r="J70" s="1942">
        <f>SUM(J62:J69)</f>
        <v>0</v>
      </c>
      <c r="K70" s="1109"/>
      <c r="L70" s="1805"/>
      <c r="M70" s="1803"/>
      <c r="O70" s="1803"/>
      <c r="P70" s="1803"/>
      <c r="Q70" s="1803"/>
      <c r="R70" s="1"/>
      <c r="S70" s="1"/>
      <c r="T70" s="1"/>
      <c r="U70" s="1"/>
      <c r="V70" s="1"/>
      <c r="W70" s="1"/>
      <c r="X70" s="1"/>
      <c r="Y70" s="1"/>
      <c r="Z70" s="1"/>
      <c r="AA70" s="1"/>
      <c r="AB70" s="1"/>
      <c r="AC70" s="1"/>
    </row>
    <row r="71" spans="5:29" ht="15.75" hidden="1" x14ac:dyDescent="0.2">
      <c r="E71" s="3"/>
      <c r="F71" s="3"/>
      <c r="G71" s="1931" t="s">
        <v>29</v>
      </c>
      <c r="H71" s="1932"/>
      <c r="I71" s="1943">
        <f>(I70+J70)/2</f>
        <v>0</v>
      </c>
      <c r="J71" s="1934"/>
      <c r="K71" s="1109"/>
      <c r="L71" s="1805"/>
      <c r="M71" s="1803"/>
      <c r="O71" s="1803"/>
      <c r="P71" s="1803"/>
      <c r="Q71" s="1803"/>
      <c r="R71" s="1"/>
      <c r="S71" s="1"/>
      <c r="T71" s="1"/>
      <c r="U71" s="1"/>
      <c r="V71" s="1"/>
      <c r="W71" s="1"/>
      <c r="X71" s="1"/>
      <c r="Y71" s="1"/>
      <c r="Z71" s="1"/>
      <c r="AA71" s="1"/>
      <c r="AB71" s="1"/>
      <c r="AC71" s="1"/>
    </row>
    <row r="72" spans="5:29" hidden="1" x14ac:dyDescent="0.2">
      <c r="E72" s="3"/>
      <c r="F72" s="3"/>
      <c r="G72" s="1931" t="s">
        <v>30</v>
      </c>
      <c r="H72" s="1932"/>
      <c r="I72" s="1944" t="str">
        <f>IF(I70=0,"",REBANHO!F25/SOLO!I70)</f>
        <v/>
      </c>
      <c r="J72" s="1945" t="str">
        <f>IF(J70=0,"",REBANHO!F25/SOLO!J70)</f>
        <v/>
      </c>
      <c r="K72" s="1109"/>
      <c r="L72" s="1805"/>
      <c r="M72" s="1803"/>
      <c r="O72" s="1803"/>
      <c r="P72" s="1803"/>
      <c r="Q72" s="1803"/>
      <c r="R72" s="1"/>
      <c r="S72" s="1"/>
      <c r="T72" s="1"/>
      <c r="U72" s="1"/>
      <c r="V72" s="1"/>
      <c r="W72" s="1"/>
      <c r="X72" s="1"/>
      <c r="Y72" s="1"/>
      <c r="Z72" s="1"/>
      <c r="AA72" s="1"/>
      <c r="AB72" s="1"/>
      <c r="AC72" s="1"/>
    </row>
    <row r="73" spans="5:29" ht="15.75" hidden="1" thickBot="1" x14ac:dyDescent="0.25">
      <c r="E73" s="3"/>
      <c r="F73" s="3"/>
      <c r="G73" s="1946" t="s">
        <v>31</v>
      </c>
      <c r="H73" s="1947"/>
      <c r="I73" s="1948" t="str">
        <f>IF(I71=0,"",REBANHO!F25/SOLO!I71)</f>
        <v/>
      </c>
      <c r="J73" s="1949"/>
      <c r="K73" s="1109"/>
      <c r="L73" s="1805"/>
      <c r="M73" s="1803"/>
      <c r="O73" s="1803"/>
      <c r="P73" s="1803"/>
      <c r="Q73" s="1803"/>
      <c r="R73" s="1"/>
      <c r="S73" s="1"/>
      <c r="T73" s="1"/>
      <c r="U73" s="1"/>
      <c r="V73" s="1"/>
      <c r="W73" s="1"/>
      <c r="X73" s="1"/>
      <c r="Y73" s="1"/>
      <c r="Z73" s="1"/>
      <c r="AA73" s="1"/>
      <c r="AB73" s="1"/>
      <c r="AC73" s="1"/>
    </row>
    <row r="74" spans="5:29" hidden="1" x14ac:dyDescent="0.2">
      <c r="E74" s="3"/>
      <c r="F74" s="5"/>
      <c r="G74" s="1109"/>
      <c r="H74" s="1109"/>
      <c r="I74" s="1109"/>
      <c r="J74" s="1109"/>
      <c r="K74" s="1109"/>
      <c r="L74" s="1805"/>
      <c r="M74" s="1803"/>
      <c r="O74" s="1803"/>
      <c r="P74" s="1803"/>
      <c r="Q74" s="1803"/>
      <c r="R74" s="1"/>
      <c r="S74" s="1"/>
      <c r="T74" s="1"/>
      <c r="U74" s="1"/>
      <c r="V74" s="1"/>
      <c r="W74" s="1"/>
      <c r="X74" s="1"/>
      <c r="Y74" s="1"/>
      <c r="Z74" s="1"/>
      <c r="AA74" s="1"/>
      <c r="AB74" s="1"/>
      <c r="AC74" s="1"/>
    </row>
    <row r="75" spans="5:29" ht="15.75" hidden="1" thickBot="1" x14ac:dyDescent="0.25">
      <c r="E75" s="3"/>
      <c r="F75" s="5"/>
      <c r="G75" s="1109"/>
      <c r="H75" s="1109"/>
      <c r="I75" s="1109"/>
      <c r="J75" s="1109"/>
      <c r="K75" s="1109"/>
      <c r="L75" s="1805"/>
      <c r="M75" s="1803"/>
      <c r="O75" s="1803"/>
      <c r="P75" s="1803"/>
      <c r="Q75" s="1803"/>
      <c r="R75" s="1"/>
      <c r="S75" s="1"/>
      <c r="T75" s="1"/>
      <c r="U75" s="1"/>
      <c r="V75" s="1"/>
      <c r="W75" s="1"/>
      <c r="X75" s="1"/>
      <c r="Y75" s="1"/>
      <c r="Z75" s="1"/>
      <c r="AA75" s="1"/>
      <c r="AB75" s="1"/>
      <c r="AC75" s="1"/>
    </row>
    <row r="76" spans="5:29" hidden="1" x14ac:dyDescent="0.2">
      <c r="E76" s="3"/>
      <c r="F76" s="3"/>
      <c r="G76" s="1923" t="s">
        <v>32</v>
      </c>
      <c r="H76" s="1950"/>
      <c r="I76" s="1926"/>
      <c r="J76" s="1951"/>
      <c r="K76" s="1109"/>
      <c r="L76" s="1805"/>
      <c r="M76" s="1803"/>
      <c r="O76" s="1803"/>
      <c r="P76" s="1803"/>
      <c r="Q76" s="1803"/>
      <c r="R76" s="1"/>
      <c r="S76" s="1"/>
      <c r="T76" s="1"/>
      <c r="U76" s="1"/>
      <c r="V76" s="1"/>
      <c r="W76" s="1"/>
      <c r="X76" s="1"/>
      <c r="Y76" s="1"/>
      <c r="Z76" s="1"/>
      <c r="AA76" s="1"/>
      <c r="AB76" s="1"/>
      <c r="AC76" s="1"/>
    </row>
    <row r="77" spans="5:29" hidden="1" x14ac:dyDescent="0.2">
      <c r="E77" s="3"/>
      <c r="F77" s="5"/>
      <c r="G77" s="2062"/>
      <c r="H77" s="2063"/>
      <c r="I77" s="2064"/>
      <c r="J77" s="1951"/>
      <c r="K77" s="1109"/>
      <c r="L77" s="1805"/>
      <c r="M77" s="1803"/>
      <c r="O77" s="1803"/>
      <c r="P77" s="1803"/>
      <c r="Q77" s="1803"/>
      <c r="R77" s="1"/>
      <c r="S77" s="1"/>
      <c r="T77" s="1"/>
      <c r="U77" s="1"/>
      <c r="V77" s="1"/>
      <c r="W77" s="1"/>
      <c r="X77" s="1"/>
      <c r="Y77" s="1"/>
      <c r="Z77" s="1"/>
      <c r="AA77" s="1"/>
      <c r="AB77" s="1"/>
      <c r="AC77" s="1"/>
    </row>
    <row r="78" spans="5:29" hidden="1" x14ac:dyDescent="0.2">
      <c r="E78" s="3"/>
      <c r="F78" s="5"/>
      <c r="G78" s="1932">
        <f>G30</f>
        <v>0</v>
      </c>
      <c r="H78" s="1952"/>
      <c r="I78" s="1934">
        <f>I30+J30</f>
        <v>0</v>
      </c>
      <c r="J78" s="1109"/>
      <c r="K78" s="1109"/>
      <c r="L78" s="1805"/>
      <c r="M78" s="1803"/>
      <c r="O78" s="1803"/>
      <c r="P78" s="1803"/>
      <c r="Q78" s="1803"/>
      <c r="R78" s="1"/>
      <c r="S78" s="1"/>
      <c r="T78" s="1"/>
      <c r="U78" s="1"/>
      <c r="V78" s="1"/>
      <c r="W78" s="1"/>
      <c r="X78" s="1"/>
      <c r="Y78" s="1"/>
      <c r="Z78" s="1"/>
      <c r="AA78" s="1"/>
      <c r="AB78" s="1"/>
      <c r="AC78" s="1"/>
    </row>
    <row r="79" spans="5:29" hidden="1" x14ac:dyDescent="0.2">
      <c r="E79" s="3"/>
      <c r="F79" s="5"/>
      <c r="G79" s="1932">
        <f t="shared" ref="G79:G80" si="0">G31</f>
        <v>0</v>
      </c>
      <c r="H79" s="1953"/>
      <c r="I79" s="1934">
        <f t="shared" ref="I79" si="1">I31+J31</f>
        <v>0</v>
      </c>
      <c r="J79" s="1109"/>
      <c r="K79" s="1109"/>
      <c r="L79" s="1805"/>
      <c r="M79" s="1803"/>
      <c r="O79" s="1803"/>
      <c r="P79" s="1803"/>
      <c r="Q79" s="1803"/>
      <c r="R79" s="1"/>
      <c r="S79" s="1"/>
      <c r="T79" s="1"/>
      <c r="U79" s="1"/>
      <c r="V79" s="1"/>
      <c r="W79" s="1"/>
      <c r="X79" s="1"/>
      <c r="Y79" s="1"/>
      <c r="Z79" s="1"/>
      <c r="AA79" s="1"/>
      <c r="AB79" s="1"/>
      <c r="AC79" s="1"/>
    </row>
    <row r="80" spans="5:29" hidden="1" x14ac:dyDescent="0.2">
      <c r="E80" s="3"/>
      <c r="F80" s="5"/>
      <c r="G80" s="1932">
        <f t="shared" si="0"/>
        <v>0</v>
      </c>
      <c r="H80" s="1953"/>
      <c r="I80" s="1934">
        <f>K32+L32</f>
        <v>0</v>
      </c>
      <c r="J80" s="1109"/>
      <c r="K80" s="1109"/>
      <c r="L80" s="1805"/>
      <c r="M80" s="1803"/>
      <c r="O80" s="1803"/>
      <c r="P80" s="1803"/>
      <c r="Q80" s="1803"/>
      <c r="R80" s="1"/>
      <c r="S80" s="1"/>
      <c r="T80" s="1"/>
      <c r="U80" s="1"/>
      <c r="V80" s="1"/>
      <c r="W80" s="1"/>
      <c r="X80" s="1"/>
      <c r="Y80" s="1"/>
      <c r="Z80" s="1"/>
      <c r="AA80" s="1"/>
      <c r="AB80" s="1"/>
      <c r="AC80" s="1"/>
    </row>
    <row r="81" spans="5:29" hidden="1" x14ac:dyDescent="0.2">
      <c r="E81" s="3"/>
      <c r="F81" s="5"/>
      <c r="G81" s="1932"/>
      <c r="H81" s="1953"/>
      <c r="I81" s="1954"/>
      <c r="J81" s="1109"/>
      <c r="K81" s="1109"/>
      <c r="L81" s="1805"/>
      <c r="M81" s="1803"/>
      <c r="O81" s="1803"/>
      <c r="P81" s="1803"/>
      <c r="Q81" s="1803"/>
      <c r="R81" s="1"/>
      <c r="S81" s="1"/>
      <c r="T81" s="1"/>
      <c r="U81" s="1"/>
      <c r="V81" s="1"/>
      <c r="W81" s="1"/>
      <c r="X81" s="1"/>
      <c r="Y81" s="1"/>
      <c r="Z81" s="1"/>
      <c r="AA81" s="1"/>
      <c r="AB81" s="1"/>
      <c r="AC81" s="1"/>
    </row>
    <row r="82" spans="5:29" hidden="1" x14ac:dyDescent="0.2">
      <c r="E82" s="3"/>
      <c r="F82" s="5"/>
      <c r="G82" s="1937">
        <f>G32</f>
        <v>0</v>
      </c>
      <c r="H82" s="1953"/>
      <c r="I82" s="1954">
        <f>K32+L32</f>
        <v>0</v>
      </c>
      <c r="J82" s="1109"/>
      <c r="K82" s="1109"/>
      <c r="L82" s="1955">
        <f>I78+I82</f>
        <v>0</v>
      </c>
      <c r="M82" s="1803"/>
      <c r="O82" s="1803"/>
      <c r="P82" s="1803"/>
      <c r="Q82" s="1803"/>
      <c r="R82" s="1"/>
      <c r="S82" s="1"/>
      <c r="T82" s="1"/>
      <c r="U82" s="1"/>
      <c r="V82" s="1"/>
      <c r="W82" s="1"/>
      <c r="X82" s="1"/>
      <c r="Y82" s="1"/>
      <c r="Z82" s="1"/>
      <c r="AA82" s="1"/>
      <c r="AB82" s="1"/>
      <c r="AC82" s="1"/>
    </row>
    <row r="83" spans="5:29" ht="16.5" hidden="1" thickBot="1" x14ac:dyDescent="0.25">
      <c r="E83" s="3"/>
      <c r="F83" s="5"/>
      <c r="G83" s="1956"/>
      <c r="H83" s="1956"/>
      <c r="I83" s="1957"/>
      <c r="J83" s="1841"/>
      <c r="K83" s="1841"/>
      <c r="L83" s="1958"/>
      <c r="M83" s="1803"/>
      <c r="O83" s="1803"/>
      <c r="P83" s="1803"/>
      <c r="Q83" s="1803"/>
      <c r="R83" s="1"/>
      <c r="S83" s="1"/>
      <c r="T83" s="1"/>
      <c r="U83" s="1"/>
      <c r="V83" s="1"/>
      <c r="W83" s="1"/>
      <c r="X83" s="1"/>
      <c r="Y83" s="1"/>
      <c r="Z83" s="1"/>
      <c r="AA83" s="1"/>
      <c r="AB83" s="1"/>
      <c r="AC83" s="1"/>
    </row>
    <row r="84" spans="5:29" ht="15.75" hidden="1" x14ac:dyDescent="0.2">
      <c r="E84" s="3"/>
      <c r="F84" s="5"/>
      <c r="G84" s="2740" t="s">
        <v>33</v>
      </c>
      <c r="H84" s="2740"/>
      <c r="I84" s="2740"/>
      <c r="J84" s="2741"/>
      <c r="K84" s="1841"/>
      <c r="L84" s="1958"/>
      <c r="M84" s="1803"/>
      <c r="O84" s="1803"/>
      <c r="P84" s="1803"/>
      <c r="Q84" s="1803"/>
      <c r="R84" s="1"/>
      <c r="S84" s="1"/>
      <c r="T84" s="1"/>
      <c r="U84" s="1"/>
      <c r="V84" s="1"/>
      <c r="W84" s="1"/>
      <c r="X84" s="1"/>
      <c r="Y84" s="1"/>
      <c r="Z84" s="1"/>
      <c r="AA84" s="1"/>
      <c r="AB84" s="1"/>
      <c r="AC84" s="1"/>
    </row>
    <row r="85" spans="5:29" ht="15.75" hidden="1" x14ac:dyDescent="0.2">
      <c r="E85" s="3"/>
      <c r="F85" s="5"/>
      <c r="G85" s="1932"/>
      <c r="H85" s="1932"/>
      <c r="I85" s="1959" t="s">
        <v>26</v>
      </c>
      <c r="J85" s="1960" t="s">
        <v>27</v>
      </c>
      <c r="K85" s="1109"/>
      <c r="L85" s="1955"/>
      <c r="M85" s="1803"/>
      <c r="O85" s="1803"/>
      <c r="P85" s="1803"/>
      <c r="Q85" s="1803"/>
      <c r="R85" s="1"/>
      <c r="S85" s="1"/>
      <c r="T85" s="1"/>
      <c r="U85" s="1"/>
      <c r="V85" s="1"/>
      <c r="W85" s="1"/>
      <c r="X85" s="1"/>
      <c r="Y85" s="1"/>
      <c r="Z85" s="1"/>
      <c r="AA85" s="1"/>
      <c r="AB85" s="1"/>
      <c r="AC85" s="1"/>
    </row>
    <row r="86" spans="5:29" hidden="1" x14ac:dyDescent="0.2">
      <c r="E86" s="3"/>
      <c r="F86" s="5"/>
      <c r="G86" s="1932">
        <f>G9</f>
        <v>0</v>
      </c>
      <c r="H86" s="1932"/>
      <c r="I86" s="1933">
        <f>I9+J9</f>
        <v>0</v>
      </c>
      <c r="J86" s="1934"/>
      <c r="K86" s="1109"/>
      <c r="L86" s="1955"/>
      <c r="M86" s="1803"/>
      <c r="O86" s="1803"/>
      <c r="P86" s="1803"/>
      <c r="Q86" s="1803"/>
      <c r="R86" s="1"/>
      <c r="S86" s="1"/>
      <c r="T86" s="1"/>
      <c r="U86" s="1"/>
      <c r="V86" s="1"/>
      <c r="W86" s="1"/>
      <c r="X86" s="1"/>
      <c r="Y86" s="1"/>
      <c r="Z86" s="1"/>
      <c r="AA86" s="1"/>
      <c r="AB86" s="1"/>
      <c r="AC86" s="1"/>
    </row>
    <row r="87" spans="5:29" hidden="1" x14ac:dyDescent="0.2">
      <c r="E87" s="3"/>
      <c r="F87" s="5"/>
      <c r="G87" s="1932">
        <f>G10</f>
        <v>0</v>
      </c>
      <c r="H87" s="1932"/>
      <c r="I87" s="1933">
        <f>I10+J10</f>
        <v>0</v>
      </c>
      <c r="J87" s="1934"/>
      <c r="K87" s="1109"/>
      <c r="L87" s="1955"/>
      <c r="M87" s="1803"/>
      <c r="O87" s="1803"/>
      <c r="P87" s="1803"/>
      <c r="Q87" s="1803"/>
      <c r="R87" s="1"/>
      <c r="S87" s="1"/>
      <c r="T87" s="1"/>
      <c r="U87" s="1"/>
      <c r="V87" s="1"/>
      <c r="W87" s="1"/>
      <c r="X87" s="1"/>
      <c r="Y87" s="1"/>
      <c r="Z87" s="1"/>
      <c r="AA87" s="1"/>
      <c r="AB87" s="1"/>
      <c r="AC87" s="1"/>
    </row>
    <row r="88" spans="5:29" hidden="1" x14ac:dyDescent="0.2">
      <c r="E88" s="3"/>
      <c r="F88" s="5"/>
      <c r="G88" s="1932">
        <f>G11</f>
        <v>0</v>
      </c>
      <c r="H88" s="1932"/>
      <c r="I88" s="1933">
        <f>I11+J11</f>
        <v>0</v>
      </c>
      <c r="J88" s="1934"/>
      <c r="K88" s="1109"/>
      <c r="L88" s="1955"/>
      <c r="M88" s="1803"/>
      <c r="O88" s="1803"/>
      <c r="P88" s="1803"/>
      <c r="Q88" s="1803"/>
      <c r="R88" s="1"/>
      <c r="S88" s="1"/>
      <c r="T88" s="1"/>
      <c r="U88" s="1"/>
      <c r="V88" s="1"/>
      <c r="W88" s="1"/>
      <c r="X88" s="1"/>
      <c r="Y88" s="1"/>
      <c r="Z88" s="1"/>
      <c r="AA88" s="1"/>
      <c r="AB88" s="1"/>
      <c r="AC88" s="1"/>
    </row>
    <row r="89" spans="5:29" ht="15.75" hidden="1" x14ac:dyDescent="0.2">
      <c r="E89" s="3"/>
      <c r="F89" s="5"/>
      <c r="G89" s="1961" t="s">
        <v>34</v>
      </c>
      <c r="H89" s="1961"/>
      <c r="I89" s="1943">
        <f>SUM(I86:I88)</f>
        <v>0</v>
      </c>
      <c r="J89" s="1962"/>
      <c r="K89" s="1109"/>
      <c r="L89" s="1955">
        <f>I89</f>
        <v>0</v>
      </c>
      <c r="M89" s="1803"/>
      <c r="O89" s="1803"/>
      <c r="P89" s="1803"/>
      <c r="Q89" s="1803"/>
      <c r="R89" s="1"/>
      <c r="S89" s="1"/>
      <c r="T89" s="1"/>
      <c r="U89" s="1"/>
      <c r="V89" s="1"/>
      <c r="W89" s="1"/>
      <c r="X89" s="1"/>
      <c r="Y89" s="1"/>
      <c r="Z89" s="1"/>
      <c r="AA89" s="1"/>
      <c r="AB89" s="1"/>
      <c r="AC89" s="1"/>
    </row>
    <row r="90" spans="5:29" hidden="1" x14ac:dyDescent="0.2">
      <c r="E90" s="3"/>
      <c r="F90" s="5"/>
      <c r="G90" s="1932">
        <f>G13</f>
        <v>0</v>
      </c>
      <c r="H90" s="1932"/>
      <c r="I90" s="1933"/>
      <c r="J90" s="1934">
        <f>K13+L13</f>
        <v>0</v>
      </c>
      <c r="K90" s="1109"/>
      <c r="L90" s="1955"/>
      <c r="M90" s="1803"/>
      <c r="O90" s="1803"/>
      <c r="P90" s="1803"/>
      <c r="Q90" s="1803"/>
      <c r="R90" s="1"/>
      <c r="S90" s="1"/>
      <c r="T90" s="1"/>
      <c r="U90" s="1"/>
      <c r="V90" s="1"/>
      <c r="W90" s="1"/>
      <c r="X90" s="1"/>
      <c r="Y90" s="1"/>
      <c r="Z90" s="1"/>
      <c r="AA90" s="1"/>
      <c r="AB90" s="1"/>
      <c r="AC90" s="1"/>
    </row>
    <row r="91" spans="5:29" hidden="1" x14ac:dyDescent="0.2">
      <c r="E91" s="3"/>
      <c r="F91" s="5"/>
      <c r="G91" s="1932">
        <f>G14</f>
        <v>0</v>
      </c>
      <c r="H91" s="1932"/>
      <c r="I91" s="1933"/>
      <c r="J91" s="1934">
        <f>K14+L14</f>
        <v>0</v>
      </c>
      <c r="K91" s="1109"/>
      <c r="L91" s="1955"/>
      <c r="M91" s="1803"/>
      <c r="O91" s="1803"/>
      <c r="P91" s="1803"/>
      <c r="Q91" s="1803"/>
      <c r="R91" s="1"/>
      <c r="S91" s="1"/>
      <c r="T91" s="1"/>
      <c r="U91" s="1"/>
      <c r="V91" s="1"/>
      <c r="W91" s="1"/>
      <c r="X91" s="1"/>
      <c r="Y91" s="1"/>
      <c r="Z91" s="1"/>
      <c r="AA91" s="1"/>
      <c r="AB91" s="1"/>
      <c r="AC91" s="1"/>
    </row>
    <row r="92" spans="5:29" ht="16.5" hidden="1" thickBot="1" x14ac:dyDescent="0.25">
      <c r="E92" s="18"/>
      <c r="F92" s="10"/>
      <c r="G92" s="1963" t="s">
        <v>35</v>
      </c>
      <c r="H92" s="1963"/>
      <c r="I92" s="1964"/>
      <c r="J92" s="1965">
        <f>SUM(J90:J91)</f>
        <v>0</v>
      </c>
      <c r="K92" s="1828"/>
      <c r="L92" s="1966">
        <f>J92</f>
        <v>0</v>
      </c>
      <c r="M92" s="1803"/>
      <c r="O92" s="1803"/>
      <c r="P92" s="1803"/>
      <c r="Q92" s="1803"/>
      <c r="R92" s="1"/>
      <c r="S92" s="1"/>
      <c r="T92" s="1"/>
      <c r="U92" s="1"/>
      <c r="V92" s="1"/>
      <c r="W92" s="1"/>
      <c r="X92" s="1"/>
      <c r="Y92" s="1"/>
      <c r="Z92" s="1"/>
      <c r="AA92" s="1"/>
      <c r="AB92" s="1"/>
      <c r="AC92" s="1"/>
    </row>
    <row r="93" spans="5:29" hidden="1" x14ac:dyDescent="0.2">
      <c r="E93" s="5"/>
      <c r="F93" s="5"/>
      <c r="G93" s="1804"/>
      <c r="H93" s="1804"/>
      <c r="I93" s="1804"/>
      <c r="J93" s="1804"/>
      <c r="K93" s="1109"/>
      <c r="L93" s="1109"/>
      <c r="M93" s="1803"/>
      <c r="O93" s="1803"/>
      <c r="P93" s="1803"/>
      <c r="Q93" s="1803"/>
      <c r="R93" s="1"/>
      <c r="S93" s="1"/>
      <c r="T93" s="1"/>
      <c r="U93" s="1"/>
      <c r="V93" s="1"/>
      <c r="W93" s="1"/>
      <c r="X93" s="1"/>
      <c r="Y93" s="1"/>
      <c r="Z93" s="1"/>
      <c r="AA93" s="1"/>
      <c r="AB93" s="1"/>
      <c r="AC93" s="1"/>
    </row>
    <row r="94" spans="5:29" hidden="1" x14ac:dyDescent="0.2">
      <c r="E94" s="1110"/>
      <c r="F94" s="1110"/>
      <c r="G94" s="1967" t="s">
        <v>241</v>
      </c>
      <c r="H94" s="1967"/>
      <c r="I94" s="1967"/>
      <c r="J94" s="1967"/>
      <c r="K94" s="1967"/>
      <c r="L94" s="1968"/>
      <c r="M94" s="1803"/>
      <c r="O94" s="1803"/>
      <c r="P94" s="1803"/>
      <c r="Q94" s="1803"/>
      <c r="R94" s="1"/>
      <c r="S94" s="1"/>
      <c r="T94" s="1"/>
      <c r="U94" s="1"/>
      <c r="V94" s="1"/>
      <c r="W94" s="1"/>
      <c r="X94" s="1"/>
      <c r="Y94" s="1"/>
      <c r="Z94" s="1"/>
      <c r="AA94" s="1"/>
      <c r="AB94" s="1"/>
      <c r="AC94" s="1"/>
    </row>
    <row r="95" spans="5:29" hidden="1" x14ac:dyDescent="0.2">
      <c r="E95" s="450"/>
      <c r="F95" s="450"/>
      <c r="G95" s="1969" t="s">
        <v>242</v>
      </c>
      <c r="H95" s="1969"/>
      <c r="I95" s="1969" t="s">
        <v>243</v>
      </c>
      <c r="J95" s="1969" t="s">
        <v>244</v>
      </c>
      <c r="K95" s="1969" t="s">
        <v>245</v>
      </c>
      <c r="L95" s="1970"/>
      <c r="M95" s="1803"/>
      <c r="O95" s="1803"/>
      <c r="P95" s="1803"/>
      <c r="Q95" s="1803"/>
      <c r="R95" s="1"/>
      <c r="S95" s="1"/>
      <c r="T95" s="1"/>
      <c r="U95" s="1"/>
      <c r="V95" s="1"/>
      <c r="W95" s="1"/>
      <c r="X95" s="1"/>
      <c r="Y95" s="1"/>
      <c r="Z95" s="1"/>
      <c r="AA95" s="1"/>
      <c r="AB95" s="1"/>
      <c r="AC95" s="1"/>
    </row>
    <row r="96" spans="5:29" hidden="1" x14ac:dyDescent="0.2">
      <c r="E96" s="450" t="str">
        <f>PRODUÇÃO!B9</f>
        <v/>
      </c>
      <c r="F96" s="450"/>
      <c r="G96" s="1969">
        <f>I9</f>
        <v>0</v>
      </c>
      <c r="H96" s="1969"/>
      <c r="I96" s="1969">
        <f>PRODUÇÃO!L9</f>
        <v>0</v>
      </c>
      <c r="J96" s="1969">
        <f>'DESPESAS (Gado)'!E7</f>
        <v>0</v>
      </c>
      <c r="K96" s="1969" t="e">
        <f>G96/I96*J96</f>
        <v>#DIV/0!</v>
      </c>
      <c r="L96" s="1970"/>
      <c r="M96" s="1803"/>
      <c r="O96" s="1803"/>
      <c r="P96" s="1803"/>
      <c r="Q96" s="1803"/>
      <c r="R96" s="1"/>
      <c r="S96" s="1"/>
      <c r="T96" s="1"/>
      <c r="U96" s="1"/>
      <c r="V96" s="1"/>
      <c r="W96" s="1"/>
      <c r="X96" s="1"/>
      <c r="Y96" s="1"/>
      <c r="Z96" s="1"/>
      <c r="AA96" s="1"/>
      <c r="AB96" s="1"/>
      <c r="AC96" s="1"/>
    </row>
    <row r="97" spans="3:29" hidden="1" x14ac:dyDescent="0.2">
      <c r="E97" s="450" t="str">
        <f>PRODUÇÃO!B10</f>
        <v/>
      </c>
      <c r="F97" s="450"/>
      <c r="G97" s="1969">
        <f>I10</f>
        <v>0</v>
      </c>
      <c r="H97" s="1969"/>
      <c r="I97" s="1969">
        <f>PRODUÇÃO!L10</f>
        <v>0</v>
      </c>
      <c r="J97" s="1969">
        <f>'DESPESAS (Gado)'!E8</f>
        <v>0</v>
      </c>
      <c r="K97" s="1969" t="e">
        <f>G97/I97*J97</f>
        <v>#DIV/0!</v>
      </c>
      <c r="L97" s="1970"/>
      <c r="M97" s="1803"/>
      <c r="O97" s="1803"/>
      <c r="P97" s="1803"/>
      <c r="Q97" s="1803"/>
      <c r="R97" s="1"/>
      <c r="S97" s="1"/>
      <c r="T97" s="1"/>
      <c r="U97" s="1"/>
      <c r="V97" s="1"/>
      <c r="W97" s="1"/>
      <c r="X97" s="1"/>
      <c r="Y97" s="1"/>
      <c r="Z97" s="1"/>
      <c r="AA97" s="1"/>
      <c r="AB97" s="1"/>
      <c r="AC97" s="1"/>
    </row>
    <row r="98" spans="3:29" hidden="1" x14ac:dyDescent="0.2">
      <c r="E98" s="450" t="str">
        <f>PRODUÇÃO!B11</f>
        <v/>
      </c>
      <c r="F98" s="450"/>
      <c r="G98" s="1969">
        <f>I11</f>
        <v>0</v>
      </c>
      <c r="H98" s="1969"/>
      <c r="I98" s="1969">
        <f>PRODUÇÃO!L11</f>
        <v>0</v>
      </c>
      <c r="J98" s="1969">
        <f>'DESPESAS (Gado)'!E9</f>
        <v>0</v>
      </c>
      <c r="K98" s="1969" t="e">
        <f>G98/I98*J98</f>
        <v>#DIV/0!</v>
      </c>
      <c r="L98" s="1933">
        <f>SUMIF(K96:K98,"&gt;0",K96:K98)</f>
        <v>0</v>
      </c>
      <c r="M98" s="1803"/>
      <c r="O98" s="1803"/>
      <c r="P98" s="1803"/>
      <c r="Q98" s="1803"/>
      <c r="R98" s="1"/>
      <c r="S98" s="1"/>
      <c r="T98" s="1"/>
      <c r="U98" s="1"/>
      <c r="V98" s="1"/>
      <c r="W98" s="1"/>
      <c r="X98" s="1"/>
      <c r="Y98" s="1"/>
      <c r="Z98" s="1"/>
      <c r="AA98" s="1"/>
      <c r="AB98" s="1"/>
      <c r="AC98" s="1"/>
    </row>
    <row r="99" spans="3:29" hidden="1" x14ac:dyDescent="0.2">
      <c r="E99" s="450" t="str">
        <f>PRODUÇÃO!B12</f>
        <v/>
      </c>
      <c r="F99" s="450"/>
      <c r="G99" s="1969">
        <f>K13</f>
        <v>0</v>
      </c>
      <c r="H99" s="1969"/>
      <c r="I99" s="1969">
        <f>PRODUÇÃO!L12</f>
        <v>0</v>
      </c>
      <c r="J99" s="1969">
        <f>'DESPESAS (Gado)'!E10</f>
        <v>0</v>
      </c>
      <c r="K99" s="1969" t="e">
        <f>G99/I99*J99</f>
        <v>#DIV/0!</v>
      </c>
      <c r="L99" s="1970"/>
      <c r="M99" s="1803"/>
      <c r="O99" s="1803"/>
      <c r="P99" s="1803"/>
      <c r="Q99" s="1803"/>
      <c r="R99" s="1"/>
      <c r="S99" s="1"/>
      <c r="T99" s="1"/>
      <c r="U99" s="1"/>
      <c r="V99" s="1"/>
      <c r="W99" s="1"/>
      <c r="X99" s="1"/>
      <c r="Y99" s="1"/>
      <c r="Z99" s="1"/>
      <c r="AA99" s="1"/>
      <c r="AB99" s="1"/>
      <c r="AC99" s="1"/>
    </row>
    <row r="100" spans="3:29" hidden="1" x14ac:dyDescent="0.2">
      <c r="E100" s="450" t="str">
        <f>PRODUÇÃO!B13</f>
        <v/>
      </c>
      <c r="F100" s="450"/>
      <c r="G100" s="1969">
        <f>K14</f>
        <v>0</v>
      </c>
      <c r="H100" s="1969"/>
      <c r="I100" s="1969">
        <f>PRODUÇÃO!L13</f>
        <v>0</v>
      </c>
      <c r="J100" s="1969">
        <f>'DESPESAS (Gado)'!E11</f>
        <v>0</v>
      </c>
      <c r="K100" s="1969" t="e">
        <f>G100/I100*J100</f>
        <v>#DIV/0!</v>
      </c>
      <c r="L100" s="1970"/>
      <c r="M100" s="1803"/>
      <c r="O100" s="1803"/>
      <c r="P100" s="1803"/>
      <c r="Q100" s="1803"/>
      <c r="R100" s="1"/>
      <c r="S100" s="1"/>
      <c r="T100" s="1"/>
      <c r="U100" s="1"/>
      <c r="V100" s="1"/>
      <c r="W100" s="1"/>
      <c r="X100" s="1"/>
      <c r="Y100" s="1"/>
      <c r="Z100" s="1"/>
      <c r="AA100" s="1"/>
      <c r="AB100" s="1"/>
      <c r="AC100" s="1"/>
    </row>
    <row r="101" spans="3:29" hidden="1" x14ac:dyDescent="0.2">
      <c r="E101" s="450"/>
      <c r="F101" s="450"/>
      <c r="G101" s="1969"/>
      <c r="H101" s="1969"/>
      <c r="I101" s="1969"/>
      <c r="J101" s="1969"/>
      <c r="K101" s="1969">
        <f>SUMIF(K96:K100,"&gt;0",K96:K100)</f>
        <v>0</v>
      </c>
      <c r="L101" s="1933">
        <f>SUMIF(K99:K100,"&gt;0",K99:K100)</f>
        <v>0</v>
      </c>
      <c r="M101" s="1803"/>
      <c r="O101" s="1803"/>
      <c r="P101" s="1803"/>
      <c r="Q101" s="1803"/>
      <c r="R101" s="1"/>
      <c r="S101" s="1"/>
      <c r="T101" s="1"/>
      <c r="U101" s="1"/>
      <c r="V101" s="1"/>
      <c r="W101" s="1"/>
      <c r="X101" s="1"/>
      <c r="Y101" s="1"/>
      <c r="Z101" s="1"/>
      <c r="AA101" s="1"/>
      <c r="AB101" s="1"/>
      <c r="AC101" s="1"/>
    </row>
    <row r="102" spans="3:29" hidden="1" x14ac:dyDescent="0.2">
      <c r="E102" s="119"/>
      <c r="F102" s="119"/>
      <c r="G102" s="1970"/>
      <c r="H102" s="1970"/>
      <c r="I102" s="1970"/>
      <c r="J102" s="1970"/>
      <c r="K102" s="1970"/>
      <c r="L102" s="1970"/>
      <c r="M102" s="1803"/>
      <c r="O102" s="1803"/>
      <c r="P102" s="1803"/>
      <c r="Q102" s="1803"/>
      <c r="R102" s="1"/>
      <c r="S102" s="1"/>
      <c r="T102" s="1"/>
      <c r="U102" s="1"/>
      <c r="V102" s="1"/>
      <c r="W102" s="1"/>
      <c r="X102" s="1"/>
      <c r="Y102" s="1"/>
      <c r="Z102" s="1"/>
      <c r="AA102" s="1"/>
      <c r="AB102" s="1"/>
      <c r="AC102" s="1"/>
    </row>
    <row r="103" spans="3:29" hidden="1" x14ac:dyDescent="0.2">
      <c r="E103" s="119"/>
      <c r="F103" s="119"/>
      <c r="G103" s="1970"/>
      <c r="H103" s="1970"/>
      <c r="I103" s="1970"/>
      <c r="J103" s="1970"/>
      <c r="K103" s="1970"/>
      <c r="L103" s="1970"/>
      <c r="M103" s="1803"/>
      <c r="O103" s="1803"/>
      <c r="P103" s="1803"/>
      <c r="Q103" s="1803"/>
      <c r="R103" s="1"/>
      <c r="S103" s="1"/>
      <c r="T103" s="1"/>
      <c r="U103" s="1"/>
      <c r="V103" s="1"/>
      <c r="W103" s="1"/>
      <c r="X103" s="1"/>
      <c r="Y103" s="1"/>
      <c r="Z103" s="1"/>
      <c r="AA103" s="1"/>
      <c r="AB103" s="1"/>
      <c r="AC103" s="1"/>
    </row>
    <row r="104" spans="3:29" hidden="1" x14ac:dyDescent="0.2">
      <c r="E104" s="119"/>
      <c r="F104" s="119"/>
      <c r="G104" s="1970"/>
      <c r="H104" s="1970"/>
      <c r="I104" s="1970"/>
      <c r="J104" s="1970"/>
      <c r="K104" s="1970"/>
      <c r="L104" s="1970"/>
      <c r="M104" s="1803"/>
      <c r="O104" s="1803"/>
      <c r="P104" s="1803"/>
      <c r="Q104" s="1803"/>
      <c r="R104" s="1"/>
      <c r="S104" s="1"/>
      <c r="T104" s="1"/>
      <c r="U104" s="1"/>
      <c r="V104" s="1"/>
      <c r="W104" s="1"/>
      <c r="X104" s="1"/>
      <c r="Y104" s="1"/>
      <c r="Z104" s="1"/>
      <c r="AA104" s="1"/>
      <c r="AB104" s="1"/>
      <c r="AC104" s="1"/>
    </row>
    <row r="105" spans="3:29" hidden="1" x14ac:dyDescent="0.2">
      <c r="E105" s="119"/>
      <c r="F105" s="119"/>
      <c r="G105" s="1970"/>
      <c r="H105" s="1970"/>
      <c r="I105" s="1970"/>
      <c r="J105" s="1970"/>
      <c r="K105" s="1970"/>
      <c r="L105" s="1970"/>
      <c r="M105" s="1803"/>
      <c r="O105" s="1803"/>
      <c r="P105" s="1803"/>
      <c r="Q105" s="1803"/>
      <c r="R105" s="1"/>
      <c r="S105" s="1"/>
      <c r="T105" s="1"/>
      <c r="U105" s="1"/>
      <c r="V105" s="1"/>
      <c r="W105" s="1"/>
      <c r="X105" s="1"/>
      <c r="Y105" s="1"/>
      <c r="Z105" s="1"/>
      <c r="AA105" s="1"/>
      <c r="AB105" s="1"/>
      <c r="AC105" s="1"/>
    </row>
    <row r="106" spans="3:29" hidden="1" x14ac:dyDescent="0.2">
      <c r="E106" s="119"/>
      <c r="F106" s="119"/>
      <c r="G106" s="1970"/>
      <c r="H106" s="1970"/>
      <c r="I106" s="1970"/>
      <c r="J106" s="1970"/>
      <c r="K106" s="1970"/>
      <c r="L106" s="1970"/>
      <c r="M106" s="1803"/>
      <c r="O106" s="1803"/>
      <c r="P106" s="1803"/>
      <c r="Q106" s="1803"/>
      <c r="R106" s="1"/>
      <c r="S106" s="1"/>
      <c r="T106" s="1"/>
      <c r="U106" s="1"/>
      <c r="V106" s="1"/>
      <c r="W106" s="1"/>
      <c r="X106" s="1"/>
      <c r="Y106" s="1"/>
      <c r="Z106" s="1"/>
      <c r="AA106" s="1"/>
      <c r="AB106" s="1"/>
      <c r="AC106" s="1"/>
    </row>
    <row r="107" spans="3:29" hidden="1" x14ac:dyDescent="0.2">
      <c r="E107" s="119"/>
      <c r="F107" s="119"/>
      <c r="G107" s="1970"/>
      <c r="H107" s="1970"/>
      <c r="I107" s="1970"/>
      <c r="J107" s="1970"/>
      <c r="K107" s="1970"/>
      <c r="L107" s="1970"/>
      <c r="M107" s="1803"/>
      <c r="O107" s="1803"/>
      <c r="P107" s="1803"/>
      <c r="Q107" s="1803"/>
      <c r="R107" s="1"/>
      <c r="S107" s="1"/>
      <c r="T107" s="1"/>
      <c r="U107" s="1"/>
      <c r="V107" s="1"/>
      <c r="W107" s="1"/>
      <c r="X107" s="1"/>
      <c r="Y107" s="1"/>
      <c r="Z107" s="1"/>
      <c r="AA107" s="1"/>
      <c r="AB107" s="1"/>
      <c r="AC107" s="1"/>
    </row>
    <row r="108" spans="3:29" hidden="1" x14ac:dyDescent="0.2">
      <c r="M108" s="1803"/>
      <c r="O108" s="1803"/>
      <c r="P108" s="1803"/>
      <c r="Q108" s="1803"/>
      <c r="R108" s="1"/>
      <c r="S108" s="1"/>
      <c r="T108" s="1"/>
      <c r="U108" s="1"/>
      <c r="V108" s="1"/>
      <c r="W108" s="1"/>
      <c r="X108" s="1"/>
      <c r="Y108" s="1"/>
      <c r="Z108" s="1"/>
      <c r="AA108" s="1"/>
      <c r="AB108" s="1"/>
      <c r="AC108" s="1"/>
    </row>
    <row r="109" spans="3:29" x14ac:dyDescent="0.2">
      <c r="C109" s="1971"/>
      <c r="D109" s="1971"/>
      <c r="E109" s="1971"/>
      <c r="F109" s="1971"/>
      <c r="G109" s="1971"/>
      <c r="H109" s="1971"/>
      <c r="I109" s="1971"/>
      <c r="J109" s="1971"/>
      <c r="K109" s="1971"/>
      <c r="M109" s="1803"/>
      <c r="O109" s="1803"/>
      <c r="P109" s="1803"/>
      <c r="Q109" s="1803"/>
      <c r="R109" s="1"/>
      <c r="S109" s="1"/>
      <c r="T109" s="1"/>
      <c r="U109" s="1"/>
      <c r="V109" s="1"/>
      <c r="W109" s="1"/>
      <c r="X109" s="1"/>
      <c r="Y109" s="1"/>
      <c r="Z109" s="1"/>
      <c r="AA109" s="1"/>
      <c r="AB109" s="1"/>
      <c r="AC109" s="1"/>
    </row>
    <row r="110" spans="3:29" x14ac:dyDescent="0.2">
      <c r="C110" s="2021"/>
      <c r="D110" s="2018" t="str">
        <f>IF(G9="","",G9)</f>
        <v/>
      </c>
      <c r="E110" s="2017" t="str">
        <f>IF(I9="","",I9)</f>
        <v/>
      </c>
      <c r="F110" s="1971"/>
      <c r="G110" s="1971"/>
      <c r="H110" s="1971"/>
      <c r="I110" s="1971"/>
      <c r="J110" s="2019" t="str">
        <f>IF(G13="","",G13)</f>
        <v/>
      </c>
      <c r="K110" s="2020" t="str">
        <f>IF(K13="","",K13)</f>
        <v/>
      </c>
      <c r="M110" s="1803"/>
      <c r="O110" s="1803"/>
      <c r="P110" s="1803"/>
      <c r="Q110" s="1803"/>
      <c r="R110" s="1"/>
      <c r="S110" s="1"/>
      <c r="T110" s="1"/>
      <c r="U110" s="1"/>
      <c r="V110" s="1"/>
      <c r="W110" s="1"/>
      <c r="X110" s="1"/>
      <c r="Y110" s="1"/>
      <c r="Z110" s="1"/>
      <c r="AA110" s="1"/>
      <c r="AB110" s="1"/>
      <c r="AC110" s="1"/>
    </row>
    <row r="111" spans="3:29" x14ac:dyDescent="0.2">
      <c r="C111" s="2021"/>
      <c r="D111" s="2018" t="str">
        <f>IF(G10="","",G10)</f>
        <v/>
      </c>
      <c r="E111" s="2017" t="str">
        <f>IF(I10="","",I10)</f>
        <v/>
      </c>
      <c r="F111" s="1971"/>
      <c r="G111" s="1971"/>
      <c r="H111" s="1971"/>
      <c r="I111" s="1971"/>
      <c r="J111" s="2019" t="str">
        <f>IF(G14="","",G14)</f>
        <v/>
      </c>
      <c r="K111" s="2020" t="str">
        <f>IF(K14="","",K14)</f>
        <v/>
      </c>
      <c r="L111" s="14"/>
      <c r="M111" s="1803"/>
      <c r="O111" s="1803"/>
      <c r="P111" s="1803"/>
      <c r="Q111" s="1803"/>
      <c r="R111" s="1"/>
      <c r="S111" s="1"/>
      <c r="T111" s="1"/>
      <c r="U111" s="1"/>
      <c r="V111" s="1"/>
      <c r="W111" s="1"/>
      <c r="X111" s="1"/>
      <c r="Y111" s="1"/>
      <c r="Z111" s="1"/>
      <c r="AA111" s="1"/>
      <c r="AB111" s="1"/>
      <c r="AC111" s="1"/>
    </row>
    <row r="112" spans="3:29" x14ac:dyDescent="0.2">
      <c r="C112" s="2021"/>
      <c r="D112" s="2018" t="str">
        <f>IF(G18="","",G18)</f>
        <v/>
      </c>
      <c r="E112" s="2017" t="str">
        <f>IF(I18="","",I18)</f>
        <v/>
      </c>
      <c r="F112" s="1971"/>
      <c r="G112" s="1971"/>
      <c r="H112" s="1971"/>
      <c r="I112" s="1971"/>
      <c r="J112" s="2019" t="str">
        <f>IF(G26="","",G26)</f>
        <v>sobressemeadura</v>
      </c>
      <c r="K112" s="2020" t="str">
        <f>IF(L26="","",L26)</f>
        <v/>
      </c>
      <c r="L112" s="14"/>
      <c r="N112" s="1804"/>
      <c r="O112" s="1"/>
      <c r="P112" s="1"/>
      <c r="Q112" s="1"/>
      <c r="R112" s="1"/>
      <c r="S112" s="1"/>
      <c r="T112" s="1"/>
      <c r="U112" s="1"/>
      <c r="V112" s="1"/>
      <c r="W112" s="1"/>
      <c r="X112" s="1"/>
      <c r="Y112" s="1"/>
      <c r="Z112" s="1"/>
      <c r="AA112" s="1"/>
      <c r="AB112" s="1"/>
      <c r="AC112" s="1"/>
    </row>
    <row r="113" spans="3:29" x14ac:dyDescent="0.2">
      <c r="C113" s="2021"/>
      <c r="D113" s="2018" t="str">
        <f>IF(G19="","",G19)</f>
        <v/>
      </c>
      <c r="E113" s="2017" t="str">
        <f>IF(I19="","",I19)</f>
        <v/>
      </c>
      <c r="F113" s="1971"/>
      <c r="G113" s="1971"/>
      <c r="H113" s="1971"/>
      <c r="I113" s="1971"/>
      <c r="J113" s="2019" t="str">
        <f>IF(G27="","",G27)</f>
        <v/>
      </c>
      <c r="K113" s="2020" t="str">
        <f>IF(K27="","",K27)</f>
        <v/>
      </c>
      <c r="L113" s="14"/>
      <c r="N113" s="1804"/>
      <c r="O113" s="1"/>
      <c r="P113" s="1"/>
      <c r="Q113" s="1"/>
      <c r="R113" s="1"/>
      <c r="S113" s="1"/>
      <c r="T113" s="1"/>
      <c r="U113" s="1"/>
      <c r="V113" s="1"/>
      <c r="W113" s="1"/>
      <c r="X113" s="1"/>
      <c r="Y113" s="1"/>
      <c r="Z113" s="1"/>
      <c r="AA113" s="1"/>
      <c r="AB113" s="1"/>
      <c r="AC113" s="1"/>
    </row>
    <row r="114" spans="3:29" x14ac:dyDescent="0.2">
      <c r="C114" s="2021"/>
      <c r="D114" s="2018" t="str">
        <f>IF(G30="","",G30)</f>
        <v/>
      </c>
      <c r="E114" s="2017" t="str">
        <f>IF(I30="","",I30)</f>
        <v/>
      </c>
      <c r="F114" s="1971"/>
      <c r="G114" s="1971"/>
      <c r="H114" s="1971"/>
      <c r="I114" s="1971"/>
      <c r="J114" s="2019" t="str">
        <f>IF(G28="","",G28)</f>
        <v/>
      </c>
      <c r="K114" s="2020" t="str">
        <f>IF(K28="","",K28)</f>
        <v/>
      </c>
      <c r="L114" s="14"/>
      <c r="N114" s="1804"/>
      <c r="O114" s="1"/>
      <c r="P114" s="1"/>
      <c r="Q114" s="1"/>
      <c r="R114" s="1"/>
      <c r="S114" s="1"/>
      <c r="T114" s="1"/>
      <c r="U114" s="1"/>
      <c r="V114" s="1"/>
      <c r="W114" s="1"/>
      <c r="X114" s="1"/>
      <c r="Y114" s="1"/>
      <c r="Z114" s="1"/>
      <c r="AA114" s="1"/>
      <c r="AB114" s="1"/>
      <c r="AC114" s="1"/>
    </row>
    <row r="115" spans="3:29" x14ac:dyDescent="0.2">
      <c r="C115" s="2021"/>
      <c r="D115" s="2018" t="str">
        <f>IF(G31="","",G31)</f>
        <v/>
      </c>
      <c r="E115" s="2017" t="str">
        <f>IF(I31="","",I31)</f>
        <v/>
      </c>
      <c r="F115" s="1971"/>
      <c r="G115" s="1971"/>
      <c r="H115" s="1971"/>
      <c r="I115" s="1971"/>
      <c r="J115" s="2019" t="str">
        <f>IF(G32="","",G32)</f>
        <v/>
      </c>
      <c r="K115" s="2020" t="str">
        <f>IF(K32="","",K32)</f>
        <v/>
      </c>
      <c r="L115" s="14"/>
      <c r="N115" s="1804"/>
      <c r="O115" s="1"/>
      <c r="P115" s="1"/>
      <c r="Q115" s="1"/>
      <c r="R115" s="1"/>
      <c r="S115" s="1"/>
      <c r="T115" s="1"/>
      <c r="U115" s="1"/>
      <c r="V115" s="1"/>
      <c r="W115" s="1"/>
      <c r="X115" s="1"/>
      <c r="Y115" s="1"/>
      <c r="Z115" s="1"/>
      <c r="AA115" s="1"/>
      <c r="AB115" s="1"/>
      <c r="AC115" s="1"/>
    </row>
    <row r="116" spans="3:29" x14ac:dyDescent="0.2">
      <c r="C116" s="2021"/>
      <c r="D116" s="2018" t="str">
        <f>IF(G34="","",G34)</f>
        <v/>
      </c>
      <c r="E116" s="2017" t="str">
        <f>IF(I34="","",I34)</f>
        <v/>
      </c>
      <c r="F116" s="1971"/>
      <c r="G116" s="1971"/>
      <c r="H116" s="1971"/>
      <c r="I116" s="1971"/>
      <c r="J116" s="2019" t="str">
        <f>IF(G22="","",G22)</f>
        <v/>
      </c>
      <c r="K116" s="2020">
        <f>IF(K22="","",K22)</f>
        <v>0</v>
      </c>
      <c r="L116" s="14"/>
      <c r="N116" s="1804"/>
      <c r="O116" s="1"/>
      <c r="P116" s="1"/>
      <c r="Q116" s="1"/>
      <c r="R116" s="1"/>
      <c r="S116" s="1"/>
      <c r="T116" s="1"/>
      <c r="U116" s="1"/>
      <c r="V116" s="1"/>
      <c r="W116" s="1"/>
      <c r="X116" s="1"/>
      <c r="Y116" s="1"/>
      <c r="Z116" s="1"/>
      <c r="AA116" s="1"/>
      <c r="AB116" s="1"/>
      <c r="AC116" s="1"/>
    </row>
    <row r="117" spans="3:29" x14ac:dyDescent="0.2">
      <c r="C117" s="2021"/>
      <c r="D117" s="2018" t="str">
        <f>IF(G22="","",G22)</f>
        <v/>
      </c>
      <c r="E117" s="2017" t="str">
        <f>IF(I22="","",I22)</f>
        <v/>
      </c>
      <c r="F117" s="1971"/>
      <c r="G117" s="1971"/>
      <c r="H117" s="1971"/>
      <c r="I117" s="1971"/>
      <c r="J117" s="2019" t="str">
        <f t="shared" ref="J117:J118" si="2">IF(G23="","",G23)</f>
        <v/>
      </c>
      <c r="K117" s="2020">
        <f t="shared" ref="K117:K118" si="3">IF(K23="","",K23)</f>
        <v>0</v>
      </c>
      <c r="L117" s="14"/>
      <c r="N117" s="1804"/>
      <c r="O117" s="1"/>
      <c r="P117" s="1"/>
      <c r="Q117" s="1"/>
      <c r="R117" s="1"/>
      <c r="S117" s="1"/>
      <c r="T117" s="1"/>
      <c r="U117" s="1"/>
      <c r="V117" s="1"/>
      <c r="W117" s="1"/>
      <c r="X117" s="1"/>
      <c r="Y117" s="1"/>
      <c r="Z117" s="1"/>
      <c r="AA117" s="1"/>
      <c r="AB117" s="1"/>
      <c r="AC117" s="1"/>
    </row>
    <row r="118" spans="3:29" x14ac:dyDescent="0.2">
      <c r="C118" s="2021"/>
      <c r="D118" s="2018" t="str">
        <f>IF(G23="","",G23)</f>
        <v/>
      </c>
      <c r="E118" s="2017" t="str">
        <f>IF(I23="","",I23)</f>
        <v/>
      </c>
      <c r="F118" s="1971"/>
      <c r="G118" s="1971"/>
      <c r="H118" s="1971"/>
      <c r="I118" s="1971"/>
      <c r="J118" s="2019" t="str">
        <f t="shared" si="2"/>
        <v/>
      </c>
      <c r="K118" s="2020">
        <f t="shared" si="3"/>
        <v>0</v>
      </c>
      <c r="L118" s="14"/>
      <c r="N118" s="1804"/>
      <c r="O118" s="1"/>
      <c r="P118" s="1"/>
      <c r="Q118" s="1"/>
      <c r="R118" s="1"/>
      <c r="S118" s="1"/>
      <c r="T118" s="1"/>
      <c r="U118" s="1"/>
      <c r="V118" s="1"/>
      <c r="W118" s="1"/>
      <c r="X118" s="1"/>
      <c r="Y118" s="1"/>
      <c r="Z118" s="1"/>
      <c r="AA118" s="1"/>
      <c r="AB118" s="1"/>
      <c r="AC118" s="1"/>
    </row>
    <row r="119" spans="3:29" x14ac:dyDescent="0.2">
      <c r="C119" s="2021"/>
      <c r="D119" s="2018" t="str">
        <f>IF(G24="","",G24)</f>
        <v/>
      </c>
      <c r="E119" s="2017" t="str">
        <f>IF(I24="","",I24)</f>
        <v/>
      </c>
      <c r="F119" s="1971"/>
      <c r="G119" s="1971"/>
      <c r="H119" s="1971"/>
      <c r="I119" s="1971"/>
      <c r="J119" s="1971"/>
      <c r="K119" s="1971"/>
      <c r="L119" s="14"/>
      <c r="N119" s="1804"/>
      <c r="O119" s="1"/>
      <c r="P119" s="1"/>
      <c r="Q119" s="1"/>
      <c r="R119" s="1"/>
      <c r="S119" s="1"/>
      <c r="T119" s="1"/>
      <c r="U119" s="1"/>
      <c r="V119" s="1"/>
      <c r="W119" s="1"/>
      <c r="X119" s="1"/>
      <c r="Y119" s="1"/>
      <c r="Z119" s="1"/>
      <c r="AA119" s="1"/>
      <c r="AB119" s="1"/>
      <c r="AC119" s="1"/>
    </row>
    <row r="120" spans="3:29" x14ac:dyDescent="0.2">
      <c r="F120" s="1971"/>
      <c r="G120" s="1971"/>
      <c r="H120" s="1971"/>
      <c r="I120" s="1971"/>
      <c r="J120" s="1971"/>
      <c r="K120" s="1971"/>
      <c r="L120" s="14"/>
      <c r="N120" s="1804"/>
      <c r="O120" s="1"/>
      <c r="P120" s="1"/>
      <c r="Q120" s="1"/>
      <c r="R120" s="1"/>
      <c r="S120" s="1"/>
      <c r="T120" s="1"/>
      <c r="U120" s="1"/>
      <c r="V120" s="1"/>
      <c r="W120" s="1"/>
      <c r="X120" s="1"/>
      <c r="Y120" s="1"/>
      <c r="Z120" s="1"/>
      <c r="AA120" s="1"/>
      <c r="AB120" s="1"/>
      <c r="AC120" s="1"/>
    </row>
    <row r="121" spans="3:29" x14ac:dyDescent="0.2">
      <c r="G121" s="14"/>
      <c r="H121" s="14"/>
      <c r="I121" s="14"/>
      <c r="J121" s="14"/>
      <c r="K121" s="14"/>
      <c r="L121" s="14"/>
      <c r="N121" s="1804"/>
      <c r="O121" s="1"/>
      <c r="P121" s="1"/>
      <c r="Q121" s="1"/>
      <c r="R121" s="1"/>
      <c r="S121" s="1"/>
      <c r="T121" s="1"/>
      <c r="U121" s="1"/>
      <c r="V121" s="1"/>
      <c r="W121" s="1"/>
      <c r="X121" s="1"/>
      <c r="Y121" s="1"/>
      <c r="Z121" s="1"/>
      <c r="AA121" s="1"/>
      <c r="AB121" s="1"/>
      <c r="AC121" s="1"/>
    </row>
    <row r="122" spans="3:29" x14ac:dyDescent="0.2">
      <c r="G122" s="14"/>
      <c r="H122" s="14"/>
      <c r="I122" s="14"/>
      <c r="J122" s="14"/>
      <c r="K122" s="14"/>
      <c r="L122" s="14"/>
      <c r="N122" s="1804"/>
      <c r="O122" s="1"/>
      <c r="P122" s="1"/>
      <c r="Q122" s="1"/>
      <c r="R122" s="1"/>
      <c r="S122" s="1"/>
      <c r="T122" s="1"/>
      <c r="U122" s="1"/>
      <c r="V122" s="1"/>
      <c r="W122" s="1"/>
      <c r="X122" s="1"/>
      <c r="Y122" s="1"/>
      <c r="Z122" s="1"/>
      <c r="AA122" s="1"/>
      <c r="AB122" s="1"/>
      <c r="AC122" s="1"/>
    </row>
    <row r="123" spans="3:29" x14ac:dyDescent="0.2">
      <c r="G123" s="14"/>
      <c r="H123" s="14"/>
      <c r="I123" s="14"/>
      <c r="J123" s="14"/>
      <c r="K123" s="14"/>
      <c r="L123" s="14"/>
      <c r="N123" s="1804"/>
      <c r="O123" s="1"/>
      <c r="P123" s="1"/>
      <c r="Q123" s="1"/>
      <c r="R123" s="1"/>
      <c r="S123" s="1"/>
      <c r="T123" s="1"/>
      <c r="U123" s="1"/>
      <c r="V123" s="1"/>
      <c r="W123" s="1"/>
      <c r="X123" s="1"/>
      <c r="Y123" s="1"/>
      <c r="Z123" s="1"/>
      <c r="AA123" s="1"/>
      <c r="AB123" s="1"/>
      <c r="AC123" s="1"/>
    </row>
    <row r="124" spans="3:29" x14ac:dyDescent="0.2">
      <c r="G124" s="14"/>
      <c r="H124" s="14"/>
      <c r="I124" s="14"/>
      <c r="J124" s="14"/>
      <c r="K124" s="14"/>
      <c r="L124" s="14"/>
      <c r="N124" s="1804"/>
      <c r="O124" s="1"/>
      <c r="P124" s="1"/>
      <c r="Q124" s="1"/>
      <c r="R124" s="1"/>
      <c r="S124" s="1"/>
      <c r="T124" s="1"/>
      <c r="U124" s="1"/>
      <c r="V124" s="1"/>
      <c r="W124" s="1"/>
      <c r="X124" s="1"/>
      <c r="Y124" s="1"/>
      <c r="Z124" s="1"/>
      <c r="AA124" s="1"/>
      <c r="AB124" s="1"/>
      <c r="AC124" s="1"/>
    </row>
    <row r="125" spans="3:29" x14ac:dyDescent="0.2">
      <c r="G125" s="14"/>
      <c r="H125" s="14"/>
      <c r="I125" s="14"/>
      <c r="J125" s="14"/>
      <c r="K125" s="14"/>
      <c r="L125" s="14"/>
      <c r="N125" s="1804"/>
      <c r="O125" s="1"/>
      <c r="P125" s="1"/>
      <c r="Q125" s="1"/>
      <c r="R125" s="1"/>
      <c r="S125" s="1"/>
      <c r="T125" s="1"/>
      <c r="U125" s="1"/>
      <c r="V125" s="1"/>
      <c r="W125" s="1"/>
      <c r="X125" s="1"/>
      <c r="Y125" s="1"/>
      <c r="Z125" s="1"/>
      <c r="AA125" s="1"/>
      <c r="AB125" s="1"/>
      <c r="AC125" s="1"/>
    </row>
    <row r="126" spans="3:29" x14ac:dyDescent="0.2">
      <c r="G126" s="14"/>
      <c r="H126" s="14"/>
      <c r="I126" s="14"/>
      <c r="J126" s="14"/>
      <c r="K126" s="14"/>
      <c r="L126" s="14"/>
      <c r="N126" s="1804"/>
      <c r="O126" s="1"/>
      <c r="P126" s="1"/>
      <c r="Q126" s="1"/>
      <c r="R126" s="1"/>
      <c r="S126" s="1"/>
      <c r="T126" s="1"/>
      <c r="U126" s="1"/>
      <c r="V126" s="1"/>
      <c r="W126" s="1"/>
      <c r="X126" s="1"/>
      <c r="Y126" s="1"/>
      <c r="Z126" s="1"/>
      <c r="AA126" s="1"/>
      <c r="AB126" s="1"/>
      <c r="AC126" s="1"/>
    </row>
    <row r="127" spans="3:29" x14ac:dyDescent="0.2">
      <c r="G127" s="14"/>
      <c r="H127" s="14"/>
      <c r="I127" s="14"/>
      <c r="J127" s="14"/>
      <c r="K127" s="14"/>
      <c r="L127" s="14"/>
      <c r="N127" s="1804"/>
      <c r="O127" s="1"/>
      <c r="P127" s="1"/>
      <c r="Q127" s="1"/>
      <c r="R127" s="1"/>
      <c r="S127" s="1"/>
      <c r="T127" s="1"/>
      <c r="U127" s="1"/>
      <c r="V127" s="1"/>
      <c r="W127" s="1"/>
      <c r="X127" s="1"/>
      <c r="Y127" s="1"/>
      <c r="Z127" s="1"/>
      <c r="AA127" s="1"/>
      <c r="AB127" s="1"/>
      <c r="AC127" s="1"/>
    </row>
    <row r="128" spans="3:29" x14ac:dyDescent="0.2">
      <c r="G128" s="14"/>
      <c r="H128" s="14"/>
      <c r="I128" s="14"/>
      <c r="J128" s="14"/>
      <c r="K128" s="14"/>
      <c r="L128" s="14"/>
      <c r="N128" s="1804"/>
      <c r="O128" s="1"/>
      <c r="P128" s="1"/>
      <c r="Q128" s="1"/>
      <c r="R128" s="1"/>
      <c r="S128" s="1"/>
      <c r="T128" s="1"/>
      <c r="U128" s="1"/>
      <c r="V128" s="1"/>
      <c r="W128" s="1"/>
      <c r="X128" s="1"/>
      <c r="Y128" s="1"/>
      <c r="Z128" s="1"/>
      <c r="AA128" s="1"/>
      <c r="AB128" s="1"/>
      <c r="AC128" s="1"/>
    </row>
    <row r="129" spans="3:29" x14ac:dyDescent="0.2">
      <c r="G129" s="14"/>
      <c r="H129" s="14"/>
      <c r="I129" s="14"/>
      <c r="J129" s="14"/>
      <c r="K129" s="14"/>
      <c r="L129" s="14"/>
      <c r="N129" s="1804"/>
      <c r="O129" s="1"/>
      <c r="P129" s="1"/>
      <c r="Q129" s="1"/>
      <c r="R129" s="1"/>
      <c r="S129" s="1"/>
      <c r="T129" s="1"/>
      <c r="U129" s="1"/>
      <c r="V129" s="1"/>
      <c r="W129" s="1"/>
      <c r="X129" s="1"/>
      <c r="Y129" s="1"/>
      <c r="Z129" s="1"/>
      <c r="AA129" s="1"/>
      <c r="AB129" s="1"/>
      <c r="AC129" s="1"/>
    </row>
    <row r="130" spans="3:29" x14ac:dyDescent="0.2">
      <c r="G130" s="14"/>
      <c r="H130" s="14"/>
      <c r="I130" s="14"/>
      <c r="J130" s="14"/>
      <c r="K130" s="14"/>
      <c r="L130" s="14"/>
      <c r="N130" s="1804"/>
      <c r="O130" s="1"/>
      <c r="P130" s="1"/>
      <c r="Q130" s="1"/>
      <c r="R130" s="1"/>
      <c r="S130" s="1"/>
      <c r="T130" s="1"/>
      <c r="U130" s="1"/>
      <c r="V130" s="1"/>
      <c r="W130" s="1"/>
      <c r="X130" s="1"/>
      <c r="Y130" s="1"/>
      <c r="Z130" s="1"/>
      <c r="AA130" s="1"/>
      <c r="AB130" s="1"/>
      <c r="AC130" s="1"/>
    </row>
    <row r="131" spans="3:29" x14ac:dyDescent="0.2">
      <c r="G131" s="14"/>
      <c r="H131" s="14"/>
      <c r="I131" s="14"/>
      <c r="J131" s="14"/>
      <c r="K131" s="14"/>
      <c r="L131" s="14"/>
      <c r="N131" s="1804"/>
      <c r="O131" s="1"/>
      <c r="P131" s="1"/>
      <c r="Q131" s="1"/>
      <c r="R131" s="1"/>
      <c r="S131" s="1"/>
      <c r="T131" s="1"/>
      <c r="U131" s="1"/>
      <c r="V131" s="1"/>
      <c r="W131" s="1"/>
      <c r="X131" s="1"/>
      <c r="Y131" s="1"/>
      <c r="Z131" s="1"/>
      <c r="AA131" s="1"/>
      <c r="AB131" s="1"/>
      <c r="AC131" s="1"/>
    </row>
    <row r="132" spans="3:29" x14ac:dyDescent="0.2">
      <c r="G132" s="14"/>
      <c r="H132" s="14"/>
      <c r="I132" s="14"/>
      <c r="J132" s="14"/>
      <c r="K132" s="14"/>
      <c r="L132" s="14"/>
      <c r="N132" s="1804"/>
      <c r="O132" s="1"/>
      <c r="P132" s="1"/>
      <c r="Q132" s="1"/>
      <c r="R132" s="1"/>
      <c r="S132" s="1"/>
      <c r="T132" s="1"/>
      <c r="U132" s="1"/>
      <c r="V132" s="1"/>
      <c r="W132" s="1"/>
      <c r="X132" s="1"/>
      <c r="Y132" s="1"/>
      <c r="Z132" s="1"/>
      <c r="AA132" s="1"/>
      <c r="AB132" s="1"/>
      <c r="AC132" s="1"/>
    </row>
    <row r="133" spans="3:29" x14ac:dyDescent="0.2">
      <c r="G133" s="14"/>
      <c r="H133" s="14"/>
      <c r="I133" s="14"/>
      <c r="J133" s="14"/>
      <c r="K133" s="14"/>
      <c r="L133" s="14"/>
      <c r="N133" s="1804"/>
      <c r="O133" s="1"/>
      <c r="P133" s="1"/>
      <c r="Q133" s="1"/>
      <c r="R133" s="1"/>
      <c r="S133" s="1"/>
      <c r="T133" s="1"/>
      <c r="U133" s="1"/>
      <c r="V133" s="1"/>
      <c r="W133" s="1"/>
      <c r="X133" s="1"/>
      <c r="Y133" s="1"/>
      <c r="Z133" s="1"/>
      <c r="AA133" s="1"/>
      <c r="AB133" s="1"/>
      <c r="AC133" s="1"/>
    </row>
    <row r="134" spans="3:29" ht="9.75" customHeight="1" thickBot="1" x14ac:dyDescent="0.25">
      <c r="G134" s="14"/>
      <c r="H134" s="14"/>
      <c r="I134" s="14"/>
      <c r="J134" s="14"/>
      <c r="K134" s="14"/>
      <c r="L134" s="14"/>
      <c r="N134" s="1804"/>
      <c r="O134" s="1"/>
      <c r="P134" s="1"/>
      <c r="Q134" s="1"/>
      <c r="R134" s="1"/>
      <c r="S134" s="1"/>
      <c r="T134" s="1"/>
      <c r="U134" s="1"/>
      <c r="V134" s="1"/>
      <c r="W134" s="1"/>
      <c r="X134" s="1"/>
      <c r="Y134" s="1"/>
      <c r="Z134" s="1"/>
      <c r="AA134" s="1"/>
      <c r="AB134" s="1"/>
      <c r="AC134" s="1"/>
    </row>
    <row r="135" spans="3:29" ht="21" customHeight="1" thickBot="1" x14ac:dyDescent="0.25">
      <c r="C135" s="2723" t="s">
        <v>1046</v>
      </c>
      <c r="D135" s="2730"/>
      <c r="E135" s="2730"/>
      <c r="F135" s="2730"/>
      <c r="G135" s="2730"/>
      <c r="H135" s="2730"/>
      <c r="I135" s="2730"/>
      <c r="J135" s="2730"/>
      <c r="K135" s="2730"/>
      <c r="L135" s="2724"/>
      <c r="N135" s="1804"/>
      <c r="O135" s="1"/>
      <c r="P135" s="1"/>
      <c r="Q135" s="1"/>
      <c r="R135" s="1"/>
      <c r="S135" s="1"/>
      <c r="T135" s="1"/>
      <c r="U135" s="1"/>
      <c r="V135" s="1"/>
      <c r="W135" s="1"/>
      <c r="X135" s="1"/>
      <c r="Y135" s="1"/>
      <c r="Z135" s="1"/>
      <c r="AA135" s="1"/>
      <c r="AB135" s="1"/>
      <c r="AC135" s="1"/>
    </row>
    <row r="136" spans="3:29" x14ac:dyDescent="0.2">
      <c r="C136" s="2731"/>
      <c r="D136" s="2732"/>
      <c r="E136" s="2732"/>
      <c r="F136" s="2732"/>
      <c r="G136" s="2732"/>
      <c r="H136" s="2732"/>
      <c r="I136" s="2732"/>
      <c r="J136" s="2732"/>
      <c r="K136" s="2732"/>
      <c r="L136" s="2733"/>
    </row>
    <row r="137" spans="3:29" x14ac:dyDescent="0.2">
      <c r="C137" s="2734"/>
      <c r="D137" s="2735"/>
      <c r="E137" s="2735"/>
      <c r="F137" s="2735"/>
      <c r="G137" s="2735"/>
      <c r="H137" s="2735"/>
      <c r="I137" s="2735"/>
      <c r="J137" s="2735"/>
      <c r="K137" s="2735"/>
      <c r="L137" s="2736"/>
    </row>
    <row r="138" spans="3:29" x14ac:dyDescent="0.2">
      <c r="C138" s="2734"/>
      <c r="D138" s="2735"/>
      <c r="E138" s="2735"/>
      <c r="F138" s="2735"/>
      <c r="G138" s="2735"/>
      <c r="H138" s="2735"/>
      <c r="I138" s="2735"/>
      <c r="J138" s="2735"/>
      <c r="K138" s="2735"/>
      <c r="L138" s="2736"/>
    </row>
    <row r="139" spans="3:29" x14ac:dyDescent="0.2">
      <c r="C139" s="2734"/>
      <c r="D139" s="2735"/>
      <c r="E139" s="2735"/>
      <c r="F139" s="2735"/>
      <c r="G139" s="2735"/>
      <c r="H139" s="2735"/>
      <c r="I139" s="2735"/>
      <c r="J139" s="2735"/>
      <c r="K139" s="2735"/>
      <c r="L139" s="2736"/>
    </row>
    <row r="140" spans="3:29" x14ac:dyDescent="0.2">
      <c r="C140" s="2734"/>
      <c r="D140" s="2735"/>
      <c r="E140" s="2735"/>
      <c r="F140" s="2735"/>
      <c r="G140" s="2735"/>
      <c r="H140" s="2735"/>
      <c r="I140" s="2735"/>
      <c r="J140" s="2735"/>
      <c r="K140" s="2735"/>
      <c r="L140" s="2736"/>
    </row>
    <row r="141" spans="3:29" ht="15.75" thickBot="1" x14ac:dyDescent="0.25">
      <c r="C141" s="2737"/>
      <c r="D141" s="2738"/>
      <c r="E141" s="2738"/>
      <c r="F141" s="2738"/>
      <c r="G141" s="2738"/>
      <c r="H141" s="2738"/>
      <c r="I141" s="2738"/>
      <c r="J141" s="2738"/>
      <c r="K141" s="2738"/>
      <c r="L141" s="2739"/>
    </row>
  </sheetData>
  <sheetProtection algorithmName="SHA-512" hashValue="XCwhRvgMZa+09Lz9/4gwSV7IMZIVBEntZVZfC8sCGgzTVYUvHKPrWLtrLrwaYF+GNWKIrXaJLIhwWZf2WVzf2g==" saltValue="BT8oBit1yLoVyd+KibO70Q==" spinCount="100000" sheet="1" objects="1" scenarios="1"/>
  <mergeCells count="32">
    <mergeCell ref="K9:L10"/>
    <mergeCell ref="C4:L4"/>
    <mergeCell ref="C45:C49"/>
    <mergeCell ref="E9:E11"/>
    <mergeCell ref="E13:E15"/>
    <mergeCell ref="E34:E35"/>
    <mergeCell ref="I6:J6"/>
    <mergeCell ref="E18:E20"/>
    <mergeCell ref="C6:C7"/>
    <mergeCell ref="C30:C33"/>
    <mergeCell ref="E37:E38"/>
    <mergeCell ref="C43:G43"/>
    <mergeCell ref="I41:J41"/>
    <mergeCell ref="K41:L41"/>
    <mergeCell ref="I43:J43"/>
    <mergeCell ref="K43:L43"/>
    <mergeCell ref="C135:L135"/>
    <mergeCell ref="C136:L141"/>
    <mergeCell ref="G84:J84"/>
    <mergeCell ref="K6:L6"/>
    <mergeCell ref="E30:E32"/>
    <mergeCell ref="G6:G7"/>
    <mergeCell ref="E26:E28"/>
    <mergeCell ref="E6:E7"/>
    <mergeCell ref="E22:E24"/>
    <mergeCell ref="I37:I38"/>
    <mergeCell ref="J37:J38"/>
    <mergeCell ref="K37:K38"/>
    <mergeCell ref="L37:L38"/>
    <mergeCell ref="G37:G38"/>
    <mergeCell ref="I45:J49"/>
    <mergeCell ref="K45:L49"/>
  </mergeCells>
  <phoneticPr fontId="50" type="noConversion"/>
  <conditionalFormatting sqref="C14">
    <cfRule type="dataBar" priority="10">
      <dataBar>
        <cfvo type="min"/>
        <cfvo type="max"/>
        <color rgb="FF638EC6"/>
      </dataBar>
      <extLst>
        <ext xmlns:x14="http://schemas.microsoft.com/office/spreadsheetml/2009/9/main" uri="{B025F937-C7B1-47D3-B67F-A62EFF666E3E}">
          <x14:id>{BADC61F0-606E-4CEF-9821-D1A1F5573F60}</x14:id>
        </ext>
      </extLst>
    </cfRule>
  </conditionalFormatting>
  <conditionalFormatting sqref="C14">
    <cfRule type="dataBar" priority="9">
      <dataBar>
        <cfvo type="min"/>
        <cfvo type="max"/>
        <color rgb="FFFFB628"/>
      </dataBar>
      <extLst>
        <ext xmlns:x14="http://schemas.microsoft.com/office/spreadsheetml/2009/9/main" uri="{B025F937-C7B1-47D3-B67F-A62EFF666E3E}">
          <x14:id>{38D0958F-7E42-4307-A4D5-5B562968EE06}</x14:id>
        </ext>
      </extLst>
    </cfRule>
  </conditionalFormatting>
  <conditionalFormatting sqref="C24 C13 C34 C38">
    <cfRule type="dataBar" priority="1">
      <dataBar>
        <cfvo type="min"/>
        <cfvo type="max"/>
        <color rgb="FFFFB628"/>
      </dataBar>
      <extLst>
        <ext xmlns:x14="http://schemas.microsoft.com/office/spreadsheetml/2009/9/main" uri="{B025F937-C7B1-47D3-B67F-A62EFF666E3E}">
          <x14:id>{1AE87AE1-797E-4884-A120-A61367147B0C}</x14:id>
        </ext>
      </extLst>
    </cfRule>
  </conditionalFormatting>
  <conditionalFormatting sqref="C109:C119 C39:C42 C44">
    <cfRule type="dataBar" priority="27">
      <dataBar>
        <cfvo type="min"/>
        <cfvo type="max"/>
        <color rgb="FFFFB628"/>
      </dataBar>
      <extLst>
        <ext xmlns:x14="http://schemas.microsoft.com/office/spreadsheetml/2009/9/main" uri="{B025F937-C7B1-47D3-B67F-A62EFF666E3E}">
          <x14:id>{72C73998-0F12-4554-8B70-E18FC34809B9}</x14:id>
        </ext>
      </extLst>
    </cfRule>
  </conditionalFormatting>
  <pageMargins left="0.78740157499999996" right="0.78740157499999996" top="0.984251969" bottom="0.984251969" header="0.49212598499999999" footer="0.49212598499999999"/>
  <pageSetup paperSize="9" scale="58" orientation="portrait" horizontalDpi="4294967293" verticalDpi="200" r:id="rId1"/>
  <headerFooter alignWithMargins="0">
    <oddHeader>&amp;A</oddHeader>
    <oddFooter>Página &amp;P</oddFooter>
  </headerFooter>
  <ignoredErrors>
    <ignoredError sqref="O12"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dataBar" id="{BADC61F0-606E-4CEF-9821-D1A1F5573F60}">
            <x14:dataBar minLength="0" maxLength="100" negativeBarColorSameAsPositive="1" axisPosition="none">
              <x14:cfvo type="min"/>
              <x14:cfvo type="max"/>
            </x14:dataBar>
          </x14:cfRule>
          <xm:sqref>C14</xm:sqref>
        </x14:conditionalFormatting>
        <x14:conditionalFormatting xmlns:xm="http://schemas.microsoft.com/office/excel/2006/main">
          <x14:cfRule type="dataBar" id="{38D0958F-7E42-4307-A4D5-5B562968EE06}">
            <x14:dataBar minLength="0" maxLength="100" negativeBarColorSameAsPositive="1" axisPosition="none">
              <x14:cfvo type="min"/>
              <x14:cfvo type="max"/>
            </x14:dataBar>
          </x14:cfRule>
          <xm:sqref>C14</xm:sqref>
        </x14:conditionalFormatting>
        <x14:conditionalFormatting xmlns:xm="http://schemas.microsoft.com/office/excel/2006/main">
          <x14:cfRule type="dataBar" id="{1AE87AE1-797E-4884-A120-A61367147B0C}">
            <x14:dataBar minLength="0" maxLength="100" negativeBarColorSameAsPositive="1" axisPosition="none">
              <x14:cfvo type="min"/>
              <x14:cfvo type="max"/>
            </x14:dataBar>
          </x14:cfRule>
          <xm:sqref>C24 C13 C34 C38</xm:sqref>
        </x14:conditionalFormatting>
        <x14:conditionalFormatting xmlns:xm="http://schemas.microsoft.com/office/excel/2006/main">
          <x14:cfRule type="dataBar" id="{72C73998-0F12-4554-8B70-E18FC34809B9}">
            <x14:dataBar minLength="0" maxLength="100" negativeBarColorSameAsPositive="1" axisPosition="none">
              <x14:cfvo type="min"/>
              <x14:cfvo type="max"/>
            </x14:dataBar>
          </x14:cfRule>
          <xm:sqref>C109:C119 C39:C42 C44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tabColor rgb="FFFFFF00"/>
    <pageSetUpPr fitToPage="1"/>
  </sheetPr>
  <dimension ref="A1:O592"/>
  <sheetViews>
    <sheetView showGridLines="0" zoomScaleNormal="100" workbookViewId="0">
      <selection activeCell="G15" sqref="G15"/>
    </sheetView>
  </sheetViews>
  <sheetFormatPr defaultColWidth="11.42578125" defaultRowHeight="12.75" x14ac:dyDescent="0.2"/>
  <cols>
    <col min="1" max="1" width="3.140625" style="24" customWidth="1"/>
    <col min="2" max="2" width="40.28515625" style="24" customWidth="1"/>
    <col min="3" max="3" width="17.5703125" style="24" customWidth="1"/>
    <col min="4" max="4" width="15.5703125" style="24" customWidth="1"/>
    <col min="5" max="5" width="13.5703125" style="24" hidden="1" customWidth="1"/>
    <col min="6" max="6" width="13.7109375" style="24" hidden="1" customWidth="1"/>
    <col min="7" max="7" width="18.85546875" style="24" customWidth="1"/>
    <col min="8" max="8" width="17" style="24" hidden="1" customWidth="1"/>
    <col min="9" max="9" width="20.42578125" style="24" customWidth="1"/>
    <col min="10" max="12" width="11.42578125" style="24" customWidth="1"/>
    <col min="13" max="15" width="11.42578125" style="23" customWidth="1"/>
    <col min="16" max="16384" width="11.42578125" style="24"/>
  </cols>
  <sheetData>
    <row r="1" spans="1:15" ht="6.75" customHeight="1" thickBot="1" x14ac:dyDescent="0.25"/>
    <row r="2" spans="1:15" s="28" customFormat="1" ht="21" customHeight="1" thickBot="1" x14ac:dyDescent="0.25">
      <c r="B2" s="2564" t="str">
        <f>CADASTRO!C4</f>
        <v>Digitar o nome</v>
      </c>
      <c r="C2" s="2792" t="str">
        <f>CADASTRO!C6</f>
        <v>Digitar o município</v>
      </c>
      <c r="D2" s="2792"/>
      <c r="E2" s="1909"/>
      <c r="F2" s="1909"/>
      <c r="G2" s="2082">
        <f>CADASTRO!C12</f>
        <v>44013</v>
      </c>
      <c r="H2" s="1909"/>
      <c r="I2" s="2083">
        <f>CADASTRO!C14</f>
        <v>44377</v>
      </c>
      <c r="J2" s="25"/>
      <c r="M2" s="25"/>
      <c r="N2" s="25"/>
      <c r="O2" s="25"/>
    </row>
    <row r="3" spans="1:15" s="25" customFormat="1" ht="5.25" customHeight="1" thickBot="1" x14ac:dyDescent="0.25">
      <c r="B3" s="5"/>
      <c r="C3" s="5"/>
      <c r="D3" s="5"/>
      <c r="E3" s="5"/>
      <c r="F3" s="5"/>
      <c r="G3" s="5"/>
      <c r="H3" s="5"/>
      <c r="I3" s="5"/>
    </row>
    <row r="4" spans="1:15" ht="21" customHeight="1" thickBot="1" x14ac:dyDescent="0.25">
      <c r="B4" s="2803" t="s">
        <v>1047</v>
      </c>
      <c r="C4" s="2804"/>
      <c r="D4" s="2804"/>
      <c r="E4" s="2804"/>
      <c r="F4" s="2804"/>
      <c r="G4" s="2804"/>
      <c r="H4" s="2804"/>
      <c r="I4" s="2805"/>
      <c r="J4" s="23"/>
    </row>
    <row r="5" spans="1:15" ht="16.5" thickBot="1" x14ac:dyDescent="0.3">
      <c r="A5" s="28"/>
      <c r="B5" s="39"/>
      <c r="C5" s="39"/>
      <c r="D5" s="39"/>
      <c r="E5" s="5"/>
      <c r="F5" s="5"/>
      <c r="G5" s="5"/>
      <c r="H5" s="5"/>
      <c r="I5" s="1887"/>
      <c r="J5" s="23"/>
    </row>
    <row r="6" spans="1:15" ht="21" customHeight="1" thickBot="1" x14ac:dyDescent="0.3">
      <c r="A6" s="28"/>
      <c r="B6" s="39"/>
      <c r="C6" s="2807" t="s">
        <v>110</v>
      </c>
      <c r="D6" s="2808"/>
      <c r="E6" s="5"/>
      <c r="F6" s="5"/>
      <c r="G6" s="5"/>
      <c r="H6" s="5"/>
      <c r="I6" s="10"/>
      <c r="J6" s="23"/>
    </row>
    <row r="7" spans="1:15" ht="17.25" customHeight="1" thickBot="1" x14ac:dyDescent="0.25">
      <c r="B7" s="2515" t="s">
        <v>985</v>
      </c>
      <c r="C7" s="2516">
        <f>IF(CADASTRO!C12=0,"",CADASTRO!C12)</f>
        <v>44013</v>
      </c>
      <c r="D7" s="2517">
        <f>CADASTRO!C14</f>
        <v>44377</v>
      </c>
      <c r="E7" s="2518" t="s">
        <v>843</v>
      </c>
      <c r="F7" s="2518" t="s">
        <v>39</v>
      </c>
      <c r="G7" s="2519" t="s">
        <v>40</v>
      </c>
      <c r="H7" s="2520" t="s">
        <v>41</v>
      </c>
      <c r="I7" s="2520" t="s">
        <v>844</v>
      </c>
      <c r="J7" s="23"/>
    </row>
    <row r="8" spans="1:15" ht="17.25" customHeight="1" x14ac:dyDescent="0.2">
      <c r="B8" s="1927" t="s">
        <v>809</v>
      </c>
      <c r="C8" s="2214"/>
      <c r="D8" s="2214"/>
      <c r="E8" s="2317"/>
      <c r="F8" s="2317"/>
      <c r="G8" s="2549"/>
      <c r="H8" s="2550">
        <f t="shared" ref="H8:H16" si="0">G8*C8</f>
        <v>0</v>
      </c>
      <c r="I8" s="2551">
        <f t="shared" ref="I8:I16" si="1">(D8-C8)*G8</f>
        <v>0</v>
      </c>
      <c r="J8" s="23"/>
    </row>
    <row r="9" spans="1:15" ht="17.25" customHeight="1" x14ac:dyDescent="0.2">
      <c r="B9" s="1927" t="s">
        <v>806</v>
      </c>
      <c r="C9" s="2214"/>
      <c r="D9" s="2214"/>
      <c r="E9" s="2214"/>
      <c r="F9" s="2317"/>
      <c r="G9" s="2354"/>
      <c r="H9" s="2552">
        <f t="shared" si="0"/>
        <v>0</v>
      </c>
      <c r="I9" s="2551">
        <f t="shared" si="1"/>
        <v>0</v>
      </c>
      <c r="J9" s="23"/>
    </row>
    <row r="10" spans="1:15" ht="17.25" customHeight="1" x14ac:dyDescent="0.2">
      <c r="B10" s="1927" t="s">
        <v>835</v>
      </c>
      <c r="C10" s="2214"/>
      <c r="D10" s="2214"/>
      <c r="E10" s="2214"/>
      <c r="F10" s="2317"/>
      <c r="G10" s="2354"/>
      <c r="H10" s="2552">
        <f t="shared" si="0"/>
        <v>0</v>
      </c>
      <c r="I10" s="2551">
        <f t="shared" si="1"/>
        <v>0</v>
      </c>
      <c r="J10" s="23"/>
    </row>
    <row r="11" spans="1:15" ht="17.25" customHeight="1" x14ac:dyDescent="0.2">
      <c r="B11" s="1927" t="s">
        <v>813</v>
      </c>
      <c r="C11" s="2214"/>
      <c r="D11" s="2214"/>
      <c r="E11" s="2214"/>
      <c r="F11" s="2317"/>
      <c r="G11" s="2354"/>
      <c r="H11" s="2552">
        <f t="shared" si="0"/>
        <v>0</v>
      </c>
      <c r="I11" s="2551">
        <f t="shared" si="1"/>
        <v>0</v>
      </c>
      <c r="J11" s="23"/>
    </row>
    <row r="12" spans="1:15" ht="17.25" customHeight="1" x14ac:dyDescent="0.2">
      <c r="B12" s="1927" t="s">
        <v>812</v>
      </c>
      <c r="C12" s="2214"/>
      <c r="D12" s="2214"/>
      <c r="E12" s="2214"/>
      <c r="F12" s="2317"/>
      <c r="G12" s="2354"/>
      <c r="H12" s="2552">
        <f t="shared" si="0"/>
        <v>0</v>
      </c>
      <c r="I12" s="2551">
        <f t="shared" si="1"/>
        <v>0</v>
      </c>
      <c r="K12" s="1972"/>
    </row>
    <row r="13" spans="1:15" ht="17.25" customHeight="1" x14ac:dyDescent="0.2">
      <c r="B13" s="1927" t="s">
        <v>836</v>
      </c>
      <c r="C13" s="2214"/>
      <c r="D13" s="2214"/>
      <c r="E13" s="2214"/>
      <c r="F13" s="2317"/>
      <c r="G13" s="2354"/>
      <c r="H13" s="2552">
        <f t="shared" si="0"/>
        <v>0</v>
      </c>
      <c r="I13" s="2551">
        <f t="shared" si="1"/>
        <v>0</v>
      </c>
      <c r="K13" s="1972"/>
    </row>
    <row r="14" spans="1:15" ht="17.25" customHeight="1" x14ac:dyDescent="0.2">
      <c r="B14" s="1927" t="s">
        <v>815</v>
      </c>
      <c r="C14" s="2214"/>
      <c r="D14" s="2214"/>
      <c r="E14" s="2214"/>
      <c r="F14" s="2317"/>
      <c r="G14" s="2354"/>
      <c r="H14" s="2552">
        <f t="shared" si="0"/>
        <v>0</v>
      </c>
      <c r="I14" s="2551">
        <f t="shared" si="1"/>
        <v>0</v>
      </c>
    </row>
    <row r="15" spans="1:15" ht="17.25" customHeight="1" x14ac:dyDescent="0.2">
      <c r="B15" s="1927" t="s">
        <v>814</v>
      </c>
      <c r="C15" s="2214"/>
      <c r="D15" s="2214"/>
      <c r="E15" s="2214"/>
      <c r="F15" s="2317"/>
      <c r="G15" s="2354"/>
      <c r="H15" s="2552">
        <f t="shared" si="0"/>
        <v>0</v>
      </c>
      <c r="I15" s="2551">
        <f t="shared" si="1"/>
        <v>0</v>
      </c>
    </row>
    <row r="16" spans="1:15" ht="17.25" customHeight="1" thickBot="1" x14ac:dyDescent="0.25">
      <c r="B16" s="1927" t="s">
        <v>816</v>
      </c>
      <c r="C16" s="2553"/>
      <c r="D16" s="2553"/>
      <c r="E16" s="2553"/>
      <c r="F16" s="2217"/>
      <c r="G16" s="2554"/>
      <c r="H16" s="2555">
        <f t="shared" si="0"/>
        <v>0</v>
      </c>
      <c r="I16" s="2556">
        <f t="shared" si="1"/>
        <v>0</v>
      </c>
    </row>
    <row r="17" spans="2:15" ht="20.25" customHeight="1" thickBot="1" x14ac:dyDescent="0.25">
      <c r="B17" s="2557" t="s">
        <v>986</v>
      </c>
      <c r="C17" s="2558">
        <f>SUM(C8:C16)</f>
        <v>0</v>
      </c>
      <c r="D17" s="2209">
        <f>SUM(D8:D16)</f>
        <v>0</v>
      </c>
      <c r="E17" s="2559"/>
      <c r="F17" s="2560">
        <f>SUM(F8:F16)</f>
        <v>0</v>
      </c>
      <c r="G17" s="2561" t="s">
        <v>860</v>
      </c>
      <c r="H17" s="2562">
        <f>SUM(H8:H16)</f>
        <v>0</v>
      </c>
      <c r="I17" s="2563">
        <f>SUM(I8:I16)</f>
        <v>0</v>
      </c>
    </row>
    <row r="18" spans="2:15" ht="15.75" thickBot="1" x14ac:dyDescent="0.25">
      <c r="B18" s="14"/>
      <c r="C18" s="14"/>
      <c r="D18" s="14"/>
      <c r="E18" s="14"/>
      <c r="F18" s="14"/>
      <c r="G18" s="14"/>
      <c r="H18" s="14"/>
      <c r="I18" s="14"/>
      <c r="M18" s="24"/>
      <c r="N18" s="24"/>
      <c r="O18" s="24"/>
    </row>
    <row r="19" spans="2:15" ht="15" hidden="1" x14ac:dyDescent="0.2">
      <c r="B19" s="2521" t="s">
        <v>44</v>
      </c>
      <c r="C19" s="2522" t="s">
        <v>37</v>
      </c>
      <c r="D19" s="2523"/>
      <c r="E19" s="2523" t="s">
        <v>38</v>
      </c>
      <c r="F19" s="2523" t="s">
        <v>39</v>
      </c>
      <c r="G19" s="2524" t="s">
        <v>45</v>
      </c>
      <c r="H19" s="2525" t="s">
        <v>41</v>
      </c>
      <c r="I19" s="2525"/>
      <c r="J19" s="23"/>
    </row>
    <row r="20" spans="2:15" ht="15" hidden="1" x14ac:dyDescent="0.2">
      <c r="B20" s="2004" t="s">
        <v>665</v>
      </c>
      <c r="C20" s="2526"/>
      <c r="D20" s="2526"/>
      <c r="E20" s="2526"/>
      <c r="F20" s="1969">
        <f>E20*C20</f>
        <v>0</v>
      </c>
      <c r="G20" s="2526"/>
      <c r="H20" s="2527">
        <f>G20*C20</f>
        <v>0</v>
      </c>
      <c r="I20" s="2527"/>
      <c r="J20" s="23"/>
    </row>
    <row r="21" spans="2:15" ht="15" hidden="1" x14ac:dyDescent="0.2">
      <c r="B21" s="2004"/>
      <c r="C21" s="2526"/>
      <c r="D21" s="2526"/>
      <c r="E21" s="2526"/>
      <c r="F21" s="1969">
        <f>E21*C21</f>
        <v>0</v>
      </c>
      <c r="G21" s="2526"/>
      <c r="H21" s="2527">
        <f>G21*C21</f>
        <v>0</v>
      </c>
      <c r="I21" s="2527"/>
      <c r="J21" s="23"/>
    </row>
    <row r="22" spans="2:15" ht="15" hidden="1" x14ac:dyDescent="0.2">
      <c r="B22" s="2004"/>
      <c r="C22" s="2526"/>
      <c r="D22" s="2526"/>
      <c r="E22" s="2526"/>
      <c r="F22" s="1969">
        <f>E22*C22</f>
        <v>0</v>
      </c>
      <c r="G22" s="2526"/>
      <c r="H22" s="2527">
        <f>G22*C22</f>
        <v>0</v>
      </c>
      <c r="I22" s="2527"/>
      <c r="J22" s="23"/>
    </row>
    <row r="23" spans="2:15" ht="15.75" hidden="1" x14ac:dyDescent="0.25">
      <c r="B23" s="2528" t="s">
        <v>46</v>
      </c>
      <c r="C23" s="2529">
        <f>SUM(C20:C22)</f>
        <v>0</v>
      </c>
      <c r="D23" s="2529"/>
      <c r="E23" s="2529"/>
      <c r="F23" s="2529">
        <f>SUM(F20:F22)</f>
        <v>0</v>
      </c>
      <c r="G23" s="2529"/>
      <c r="H23" s="2529">
        <f>SUM(H20:H22)</f>
        <v>0</v>
      </c>
      <c r="I23" s="2529"/>
      <c r="J23" s="23"/>
    </row>
    <row r="24" spans="2:15" ht="15.75" hidden="1" x14ac:dyDescent="0.2">
      <c r="B24" s="3"/>
      <c r="C24" s="2806"/>
      <c r="D24" s="2806"/>
      <c r="E24" s="2806"/>
      <c r="F24" s="2530">
        <f>(F17+F23)</f>
        <v>0</v>
      </c>
      <c r="G24" s="1109"/>
      <c r="H24" s="2512"/>
      <c r="I24" s="2512"/>
      <c r="J24" s="23"/>
    </row>
    <row r="25" spans="2:15" ht="15.75" hidden="1" x14ac:dyDescent="0.2">
      <c r="B25" s="3"/>
      <c r="C25" s="2806"/>
      <c r="D25" s="2806"/>
      <c r="E25" s="2806"/>
      <c r="F25" s="2531">
        <f>F24/450</f>
        <v>0</v>
      </c>
      <c r="G25" s="1109"/>
      <c r="H25" s="2512"/>
      <c r="I25" s="2512"/>
      <c r="J25" s="23"/>
    </row>
    <row r="26" spans="2:15" ht="15.75" hidden="1" x14ac:dyDescent="0.2">
      <c r="B26" s="3"/>
      <c r="C26" s="2802"/>
      <c r="D26" s="2802"/>
      <c r="E26" s="2802"/>
      <c r="F26" s="2532"/>
      <c r="G26" s="1109"/>
      <c r="H26" s="2512"/>
      <c r="I26" s="2512"/>
      <c r="J26" s="23"/>
    </row>
    <row r="27" spans="2:15" ht="15" hidden="1" x14ac:dyDescent="0.2">
      <c r="B27" s="3"/>
      <c r="C27" s="5"/>
      <c r="D27" s="5"/>
      <c r="E27" s="5"/>
      <c r="F27" s="5"/>
      <c r="G27" s="2533"/>
      <c r="H27" s="4"/>
      <c r="I27" s="4"/>
      <c r="J27" s="23"/>
    </row>
    <row r="28" spans="2:15" ht="15" hidden="1" x14ac:dyDescent="0.2">
      <c r="B28" s="3"/>
      <c r="C28" s="5"/>
      <c r="D28" s="5"/>
      <c r="E28" s="5"/>
      <c r="F28" s="5"/>
      <c r="G28" s="5"/>
      <c r="H28" s="4"/>
      <c r="I28" s="4"/>
      <c r="J28" s="23"/>
    </row>
    <row r="29" spans="2:15" ht="15.75" hidden="1" x14ac:dyDescent="0.25">
      <c r="B29" s="3"/>
      <c r="C29" s="13"/>
      <c r="D29" s="13"/>
      <c r="E29" s="13"/>
      <c r="F29" s="13"/>
      <c r="G29" s="13"/>
      <c r="H29" s="2534"/>
      <c r="I29" s="2534"/>
      <c r="J29" s="23"/>
    </row>
    <row r="30" spans="2:15" ht="16.5" hidden="1" thickBot="1" x14ac:dyDescent="0.3">
      <c r="B30" s="2535"/>
      <c r="C30" s="2799" t="s">
        <v>47</v>
      </c>
      <c r="D30" s="2800"/>
      <c r="E30" s="2800"/>
      <c r="F30" s="2801"/>
      <c r="G30" s="13"/>
      <c r="H30" s="2534"/>
      <c r="I30" s="2534"/>
      <c r="J30" s="23"/>
    </row>
    <row r="31" spans="2:15" ht="16.5" hidden="1" thickBot="1" x14ac:dyDescent="0.3">
      <c r="B31" s="2536"/>
      <c r="C31" s="2537" t="s">
        <v>48</v>
      </c>
      <c r="D31" s="2538"/>
      <c r="E31" s="2539" t="s">
        <v>49</v>
      </c>
      <c r="F31" s="2540" t="s">
        <v>50</v>
      </c>
      <c r="G31" s="5"/>
      <c r="H31" s="4"/>
      <c r="I31" s="4"/>
      <c r="J31" s="23"/>
    </row>
    <row r="32" spans="2:15" ht="15" hidden="1" x14ac:dyDescent="0.2">
      <c r="B32" s="1124" t="s">
        <v>51</v>
      </c>
      <c r="C32" s="2541" t="str">
        <f>IF(SOLO!I$70=0,"",#REF!/SOLO!I$70)</f>
        <v/>
      </c>
      <c r="D32" s="2541"/>
      <c r="E32" s="2541" t="str">
        <f>IF(SOLO!J$70=0,"",#REF!/SOLO!J$70)</f>
        <v/>
      </c>
      <c r="F32" s="2542" t="str">
        <f>IF(SOLO!I$71=0,"",#REF!/SOLO!I$71)</f>
        <v/>
      </c>
      <c r="G32" s="5"/>
      <c r="H32" s="4"/>
      <c r="I32" s="4"/>
      <c r="J32" s="23"/>
    </row>
    <row r="33" spans="2:10" ht="15" hidden="1" x14ac:dyDescent="0.2">
      <c r="B33" s="2543" t="s">
        <v>52</v>
      </c>
      <c r="C33" s="2541" t="str">
        <f>IF(SOLO!I$70=0,"",#REF!/SOLO!I$70)</f>
        <v/>
      </c>
      <c r="D33" s="2541"/>
      <c r="E33" s="2541" t="str">
        <f>IF(SOLO!J$70=0,"",#REF!/SOLO!J$70)</f>
        <v/>
      </c>
      <c r="F33" s="2542" t="str">
        <f>IF(SOLO!I$71=0,"",#REF!/SOLO!I$71)</f>
        <v/>
      </c>
      <c r="G33" s="5"/>
      <c r="H33" s="4"/>
      <c r="I33" s="4"/>
      <c r="J33" s="23"/>
    </row>
    <row r="34" spans="2:10" ht="15" hidden="1" x14ac:dyDescent="0.2">
      <c r="B34" s="2543" t="s">
        <v>53</v>
      </c>
      <c r="C34" s="2541" t="str">
        <f>IF(SOLO!I$70=0,"",#REF!/SOLO!I$70)</f>
        <v/>
      </c>
      <c r="D34" s="2541"/>
      <c r="E34" s="2541" t="str">
        <f>IF(SOLO!J$70=0,"",#REF!/SOLO!J$70)</f>
        <v/>
      </c>
      <c r="F34" s="2542" t="str">
        <f>IF(SOLO!I$71=0,"",#REF!/SOLO!I$71)</f>
        <v/>
      </c>
      <c r="G34" s="5"/>
      <c r="H34" s="4"/>
      <c r="I34" s="4"/>
      <c r="J34" s="23"/>
    </row>
    <row r="35" spans="2:10" ht="15" hidden="1" x14ac:dyDescent="0.2">
      <c r="B35" s="2544" t="s">
        <v>54</v>
      </c>
      <c r="C35" s="2541" t="str">
        <f>IF(SOLO!I$70=0,"",#REF!/SOLO!I$70)</f>
        <v/>
      </c>
      <c r="D35" s="2541"/>
      <c r="E35" s="2541" t="str">
        <f>IF(SOLO!J$70=0,"",#REF!/SOLO!J$70)</f>
        <v/>
      </c>
      <c r="F35" s="2542" t="str">
        <f>IF(SOLO!I$71=0,"",#REF!/SOLO!I$71)</f>
        <v/>
      </c>
      <c r="G35" s="5"/>
      <c r="H35" s="4"/>
      <c r="I35" s="4"/>
      <c r="J35" s="23"/>
    </row>
    <row r="36" spans="2:10" ht="16.5" hidden="1" thickBot="1" x14ac:dyDescent="0.3">
      <c r="B36" s="2545" t="s">
        <v>55</v>
      </c>
      <c r="C36" s="2541" t="str">
        <f>IF(SOLO!I$70=0,"",#REF!/SOLO!I$70)</f>
        <v/>
      </c>
      <c r="D36" s="2541"/>
      <c r="E36" s="2541" t="str">
        <f>IF(SOLO!J$70=0,"",#REF!/SOLO!J$70)</f>
        <v/>
      </c>
      <c r="F36" s="2542" t="str">
        <f>IF(SOLO!I$71=0,"",#REF!/SOLO!I$71)</f>
        <v/>
      </c>
      <c r="G36" s="10"/>
      <c r="H36" s="2546"/>
      <c r="I36" s="2546"/>
      <c r="J36" s="23"/>
    </row>
    <row r="37" spans="2:10" ht="16.5" thickBot="1" x14ac:dyDescent="0.25">
      <c r="B37" s="5" t="s">
        <v>873</v>
      </c>
      <c r="C37" s="5"/>
      <c r="D37" s="5"/>
      <c r="E37" s="5"/>
      <c r="F37" s="5"/>
      <c r="G37" s="2674" t="str">
        <f>IF(SUM(C8:D8)=0,"",(C8+D8)/(C17+D17))</f>
        <v/>
      </c>
      <c r="H37" s="5"/>
      <c r="I37" s="2548" t="s">
        <v>929</v>
      </c>
      <c r="J37" s="23"/>
    </row>
    <row r="38" spans="2:10" ht="16.5" thickBot="1" x14ac:dyDescent="0.25">
      <c r="B38" s="5" t="s">
        <v>872</v>
      </c>
      <c r="C38" s="5"/>
      <c r="D38" s="5"/>
      <c r="E38" s="5"/>
      <c r="F38" s="5"/>
      <c r="G38" s="2547" t="str">
        <f>IF(SUM(C8:D8)=0,"",(C8+D8)/SUM(C8:D9))</f>
        <v/>
      </c>
      <c r="H38" s="5"/>
      <c r="I38" s="2548" t="s">
        <v>930</v>
      </c>
      <c r="J38" s="23"/>
    </row>
    <row r="39" spans="2:10" ht="15.75" thickBot="1" x14ac:dyDescent="0.25">
      <c r="B39" s="1"/>
      <c r="C39" s="1"/>
      <c r="D39" s="1"/>
      <c r="E39" s="1"/>
      <c r="F39" s="1"/>
      <c r="G39" s="1"/>
      <c r="H39" s="1"/>
      <c r="I39" s="1"/>
      <c r="J39" s="23"/>
    </row>
    <row r="40" spans="2:10" ht="21" customHeight="1" thickBot="1" x14ac:dyDescent="0.25">
      <c r="B40" s="2723" t="s">
        <v>1046</v>
      </c>
      <c r="C40" s="2730"/>
      <c r="D40" s="2730"/>
      <c r="E40" s="2730"/>
      <c r="F40" s="2730"/>
      <c r="G40" s="2730"/>
      <c r="H40" s="2730"/>
      <c r="I40" s="2724"/>
      <c r="J40" s="23"/>
    </row>
    <row r="41" spans="2:10" x14ac:dyDescent="0.2">
      <c r="B41" s="2793"/>
      <c r="C41" s="2794"/>
      <c r="D41" s="2794"/>
      <c r="E41" s="2794"/>
      <c r="F41" s="2794"/>
      <c r="G41" s="2794"/>
      <c r="H41" s="2794"/>
      <c r="I41" s="2795"/>
      <c r="J41" s="23"/>
    </row>
    <row r="42" spans="2:10" x14ac:dyDescent="0.2">
      <c r="B42" s="2793"/>
      <c r="C42" s="2794"/>
      <c r="D42" s="2794"/>
      <c r="E42" s="2794"/>
      <c r="F42" s="2794"/>
      <c r="G42" s="2794"/>
      <c r="H42" s="2794"/>
      <c r="I42" s="2795"/>
      <c r="J42" s="23"/>
    </row>
    <row r="43" spans="2:10" x14ac:dyDescent="0.2">
      <c r="B43" s="2793"/>
      <c r="C43" s="2794"/>
      <c r="D43" s="2794"/>
      <c r="E43" s="2794"/>
      <c r="F43" s="2794"/>
      <c r="G43" s="2794"/>
      <c r="H43" s="2794"/>
      <c r="I43" s="2795"/>
      <c r="J43" s="23"/>
    </row>
    <row r="44" spans="2:10" x14ac:dyDescent="0.2">
      <c r="B44" s="2793"/>
      <c r="C44" s="2794"/>
      <c r="D44" s="2794"/>
      <c r="E44" s="2794"/>
      <c r="F44" s="2794"/>
      <c r="G44" s="2794"/>
      <c r="H44" s="2794"/>
      <c r="I44" s="2795"/>
      <c r="J44" s="23"/>
    </row>
    <row r="45" spans="2:10" x14ac:dyDescent="0.2">
      <c r="B45" s="2793"/>
      <c r="C45" s="2794"/>
      <c r="D45" s="2794"/>
      <c r="E45" s="2794"/>
      <c r="F45" s="2794"/>
      <c r="G45" s="2794"/>
      <c r="H45" s="2794"/>
      <c r="I45" s="2795"/>
      <c r="J45" s="23"/>
    </row>
    <row r="46" spans="2:10" ht="13.5" thickBot="1" x14ac:dyDescent="0.25">
      <c r="B46" s="2796"/>
      <c r="C46" s="2797"/>
      <c r="D46" s="2797"/>
      <c r="E46" s="2797"/>
      <c r="F46" s="2797"/>
      <c r="G46" s="2797"/>
      <c r="H46" s="2797"/>
      <c r="I46" s="2798"/>
      <c r="J46" s="23"/>
    </row>
    <row r="47" spans="2:10" x14ac:dyDescent="0.2">
      <c r="B47" s="23"/>
      <c r="C47" s="23"/>
      <c r="D47" s="23"/>
      <c r="E47" s="23"/>
      <c r="F47" s="23"/>
      <c r="G47" s="23"/>
      <c r="H47" s="23"/>
      <c r="I47" s="23"/>
      <c r="J47" s="23"/>
    </row>
    <row r="48" spans="2:10" x14ac:dyDescent="0.2">
      <c r="B48" s="23"/>
      <c r="C48" s="23"/>
      <c r="D48" s="23"/>
      <c r="E48" s="23"/>
      <c r="F48" s="23"/>
      <c r="G48" s="23"/>
      <c r="H48" s="23"/>
      <c r="I48" s="23"/>
      <c r="J48" s="23"/>
    </row>
    <row r="49" spans="2:10" x14ac:dyDescent="0.2">
      <c r="B49" s="23"/>
      <c r="C49" s="23"/>
      <c r="D49" s="23"/>
      <c r="E49" s="23"/>
      <c r="F49" s="23"/>
      <c r="G49" s="23"/>
      <c r="H49" s="23"/>
      <c r="I49" s="23"/>
      <c r="J49" s="23"/>
    </row>
    <row r="50" spans="2:10" x14ac:dyDescent="0.2">
      <c r="J50" s="23"/>
    </row>
    <row r="51" spans="2:10" x14ac:dyDescent="0.2">
      <c r="J51" s="23"/>
    </row>
    <row r="52" spans="2:10" x14ac:dyDescent="0.2">
      <c r="J52" s="23"/>
    </row>
    <row r="53" spans="2:10" x14ac:dyDescent="0.2">
      <c r="J53" s="23"/>
    </row>
    <row r="54" spans="2:10" x14ac:dyDescent="0.2">
      <c r="J54" s="23"/>
    </row>
    <row r="55" spans="2:10" x14ac:dyDescent="0.2">
      <c r="J55" s="23"/>
    </row>
    <row r="56" spans="2:10" x14ac:dyDescent="0.2">
      <c r="J56" s="23"/>
    </row>
    <row r="57" spans="2:10" x14ac:dyDescent="0.2">
      <c r="J57" s="23"/>
    </row>
    <row r="58" spans="2:10" x14ac:dyDescent="0.2">
      <c r="J58" s="23"/>
    </row>
    <row r="59" spans="2:10" x14ac:dyDescent="0.2">
      <c r="J59" s="23"/>
    </row>
    <row r="60" spans="2:10" x14ac:dyDescent="0.2">
      <c r="J60" s="23"/>
    </row>
    <row r="61" spans="2:10" x14ac:dyDescent="0.2">
      <c r="J61" s="23"/>
    </row>
    <row r="62" spans="2:10" x14ac:dyDescent="0.2">
      <c r="J62" s="23"/>
    </row>
    <row r="63" spans="2:10" x14ac:dyDescent="0.2">
      <c r="J63" s="23"/>
    </row>
    <row r="64" spans="2:10" x14ac:dyDescent="0.2">
      <c r="J64" s="23"/>
    </row>
    <row r="65" spans="10:10" x14ac:dyDescent="0.2">
      <c r="J65" s="23"/>
    </row>
    <row r="66" spans="10:10" x14ac:dyDescent="0.2">
      <c r="J66" s="23"/>
    </row>
    <row r="67" spans="10:10" x14ac:dyDescent="0.2">
      <c r="J67" s="23"/>
    </row>
    <row r="68" spans="10:10" x14ac:dyDescent="0.2">
      <c r="J68" s="23"/>
    </row>
    <row r="69" spans="10:10" x14ac:dyDescent="0.2">
      <c r="J69" s="23"/>
    </row>
    <row r="70" spans="10:10" x14ac:dyDescent="0.2">
      <c r="J70" s="23"/>
    </row>
    <row r="71" spans="10:10" x14ac:dyDescent="0.2">
      <c r="J71" s="23"/>
    </row>
    <row r="72" spans="10:10" x14ac:dyDescent="0.2">
      <c r="J72" s="23"/>
    </row>
    <row r="73" spans="10:10" x14ac:dyDescent="0.2">
      <c r="J73" s="23"/>
    </row>
    <row r="74" spans="10:10" x14ac:dyDescent="0.2">
      <c r="J74" s="23"/>
    </row>
    <row r="75" spans="10:10" x14ac:dyDescent="0.2">
      <c r="J75" s="23"/>
    </row>
    <row r="76" spans="10:10" x14ac:dyDescent="0.2">
      <c r="J76" s="23"/>
    </row>
    <row r="77" spans="10:10" x14ac:dyDescent="0.2">
      <c r="J77" s="23"/>
    </row>
    <row r="78" spans="10:10" x14ac:dyDescent="0.2">
      <c r="J78" s="23"/>
    </row>
    <row r="79" spans="10:10" x14ac:dyDescent="0.2">
      <c r="J79" s="23"/>
    </row>
    <row r="80" spans="10:10" x14ac:dyDescent="0.2">
      <c r="J80" s="23"/>
    </row>
    <row r="81" spans="10:10" x14ac:dyDescent="0.2">
      <c r="J81" s="23"/>
    </row>
    <row r="82" spans="10:10" x14ac:dyDescent="0.2">
      <c r="J82" s="23"/>
    </row>
    <row r="83" spans="10:10" x14ac:dyDescent="0.2">
      <c r="J83" s="23"/>
    </row>
    <row r="84" spans="10:10" x14ac:dyDescent="0.2">
      <c r="J84" s="23"/>
    </row>
    <row r="85" spans="10:10" x14ac:dyDescent="0.2">
      <c r="J85" s="23"/>
    </row>
    <row r="86" spans="10:10" x14ac:dyDescent="0.2">
      <c r="J86" s="23"/>
    </row>
    <row r="87" spans="10:10" x14ac:dyDescent="0.2">
      <c r="J87" s="23"/>
    </row>
    <row r="88" spans="10:10" x14ac:dyDescent="0.2">
      <c r="J88" s="23"/>
    </row>
    <row r="89" spans="10:10" x14ac:dyDescent="0.2">
      <c r="J89" s="23"/>
    </row>
    <row r="90" spans="10:10" x14ac:dyDescent="0.2">
      <c r="J90" s="23"/>
    </row>
    <row r="91" spans="10:10" x14ac:dyDescent="0.2">
      <c r="J91" s="23"/>
    </row>
    <row r="92" spans="10:10" x14ac:dyDescent="0.2">
      <c r="J92" s="23"/>
    </row>
    <row r="93" spans="10:10" x14ac:dyDescent="0.2">
      <c r="J93" s="23"/>
    </row>
    <row r="94" spans="10:10" x14ac:dyDescent="0.2">
      <c r="J94" s="23"/>
    </row>
    <row r="95" spans="10:10" x14ac:dyDescent="0.2">
      <c r="J95" s="23"/>
    </row>
    <row r="96" spans="10:10" x14ac:dyDescent="0.2">
      <c r="J96" s="23"/>
    </row>
    <row r="97" spans="10:10" x14ac:dyDescent="0.2">
      <c r="J97" s="23"/>
    </row>
    <row r="98" spans="10:10" x14ac:dyDescent="0.2">
      <c r="J98" s="23"/>
    </row>
    <row r="99" spans="10:10" x14ac:dyDescent="0.2">
      <c r="J99" s="23"/>
    </row>
    <row r="100" spans="10:10" x14ac:dyDescent="0.2">
      <c r="J100" s="23"/>
    </row>
    <row r="101" spans="10:10" x14ac:dyDescent="0.2">
      <c r="J101" s="23"/>
    </row>
    <row r="102" spans="10:10" x14ac:dyDescent="0.2">
      <c r="J102" s="23"/>
    </row>
    <row r="103" spans="10:10" x14ac:dyDescent="0.2">
      <c r="J103" s="23"/>
    </row>
    <row r="104" spans="10:10" x14ac:dyDescent="0.2">
      <c r="J104" s="23"/>
    </row>
    <row r="105" spans="10:10" x14ac:dyDescent="0.2">
      <c r="J105" s="23"/>
    </row>
    <row r="106" spans="10:10" x14ac:dyDescent="0.2">
      <c r="J106" s="23"/>
    </row>
    <row r="107" spans="10:10" x14ac:dyDescent="0.2">
      <c r="J107" s="23"/>
    </row>
    <row r="108" spans="10:10" x14ac:dyDescent="0.2">
      <c r="J108" s="23"/>
    </row>
    <row r="109" spans="10:10" x14ac:dyDescent="0.2">
      <c r="J109" s="23"/>
    </row>
    <row r="110" spans="10:10" x14ac:dyDescent="0.2">
      <c r="J110" s="23"/>
    </row>
    <row r="111" spans="10:10" x14ac:dyDescent="0.2">
      <c r="J111" s="23"/>
    </row>
    <row r="112" spans="10:10" x14ac:dyDescent="0.2">
      <c r="J112" s="23"/>
    </row>
    <row r="113" spans="10:10" x14ac:dyDescent="0.2">
      <c r="J113" s="23"/>
    </row>
    <row r="114" spans="10:10" x14ac:dyDescent="0.2">
      <c r="J114" s="23"/>
    </row>
    <row r="115" spans="10:10" x14ac:dyDescent="0.2">
      <c r="J115" s="23"/>
    </row>
    <row r="116" spans="10:10" x14ac:dyDescent="0.2">
      <c r="J116" s="23"/>
    </row>
    <row r="117" spans="10:10" x14ac:dyDescent="0.2">
      <c r="J117" s="23"/>
    </row>
    <row r="118" spans="10:10" x14ac:dyDescent="0.2">
      <c r="J118" s="23"/>
    </row>
    <row r="119" spans="10:10" x14ac:dyDescent="0.2">
      <c r="J119" s="23"/>
    </row>
    <row r="120" spans="10:10" x14ac:dyDescent="0.2">
      <c r="J120" s="23"/>
    </row>
    <row r="121" spans="10:10" x14ac:dyDescent="0.2">
      <c r="J121" s="23"/>
    </row>
    <row r="122" spans="10:10" x14ac:dyDescent="0.2">
      <c r="J122" s="23"/>
    </row>
    <row r="123" spans="10:10" x14ac:dyDescent="0.2">
      <c r="J123" s="23"/>
    </row>
    <row r="124" spans="10:10" x14ac:dyDescent="0.2">
      <c r="J124" s="23"/>
    </row>
    <row r="125" spans="10:10" x14ac:dyDescent="0.2">
      <c r="J125" s="23"/>
    </row>
    <row r="126" spans="10:10" x14ac:dyDescent="0.2">
      <c r="J126" s="23"/>
    </row>
    <row r="127" spans="10:10" x14ac:dyDescent="0.2">
      <c r="J127" s="23"/>
    </row>
    <row r="128" spans="10:10" x14ac:dyDescent="0.2">
      <c r="J128" s="23"/>
    </row>
    <row r="129" spans="10:10" x14ac:dyDescent="0.2">
      <c r="J129" s="23"/>
    </row>
    <row r="130" spans="10:10" x14ac:dyDescent="0.2">
      <c r="J130" s="23"/>
    </row>
    <row r="131" spans="10:10" x14ac:dyDescent="0.2">
      <c r="J131" s="23"/>
    </row>
    <row r="132" spans="10:10" x14ac:dyDescent="0.2">
      <c r="J132" s="23"/>
    </row>
    <row r="133" spans="10:10" x14ac:dyDescent="0.2">
      <c r="J133" s="23"/>
    </row>
    <row r="134" spans="10:10" x14ac:dyDescent="0.2">
      <c r="J134" s="23"/>
    </row>
    <row r="135" spans="10:10" x14ac:dyDescent="0.2">
      <c r="J135" s="23"/>
    </row>
    <row r="136" spans="10:10" x14ac:dyDescent="0.2">
      <c r="J136" s="23"/>
    </row>
    <row r="137" spans="10:10" x14ac:dyDescent="0.2">
      <c r="J137" s="23"/>
    </row>
    <row r="138" spans="10:10" x14ac:dyDescent="0.2">
      <c r="J138" s="23"/>
    </row>
    <row r="139" spans="10:10" x14ac:dyDescent="0.2">
      <c r="J139" s="23"/>
    </row>
    <row r="140" spans="10:10" x14ac:dyDescent="0.2">
      <c r="J140" s="23"/>
    </row>
    <row r="141" spans="10:10" x14ac:dyDescent="0.2">
      <c r="J141" s="23"/>
    </row>
    <row r="142" spans="10:10" x14ac:dyDescent="0.2">
      <c r="J142" s="23"/>
    </row>
    <row r="143" spans="10:10" x14ac:dyDescent="0.2">
      <c r="J143" s="23"/>
    </row>
    <row r="144" spans="10:10" x14ac:dyDescent="0.2">
      <c r="J144" s="23"/>
    </row>
    <row r="145" spans="10:10" x14ac:dyDescent="0.2">
      <c r="J145" s="23"/>
    </row>
    <row r="146" spans="10:10" x14ac:dyDescent="0.2">
      <c r="J146" s="23"/>
    </row>
    <row r="147" spans="10:10" x14ac:dyDescent="0.2">
      <c r="J147" s="23"/>
    </row>
    <row r="148" spans="10:10" x14ac:dyDescent="0.2">
      <c r="J148" s="23"/>
    </row>
    <row r="149" spans="10:10" x14ac:dyDescent="0.2">
      <c r="J149" s="23"/>
    </row>
    <row r="150" spans="10:10" x14ac:dyDescent="0.2">
      <c r="J150" s="23"/>
    </row>
    <row r="151" spans="10:10" x14ac:dyDescent="0.2">
      <c r="J151" s="23"/>
    </row>
    <row r="152" spans="10:10" x14ac:dyDescent="0.2">
      <c r="J152" s="23"/>
    </row>
    <row r="153" spans="10:10" x14ac:dyDescent="0.2">
      <c r="J153" s="23"/>
    </row>
    <row r="154" spans="10:10" x14ac:dyDescent="0.2">
      <c r="J154" s="23"/>
    </row>
    <row r="155" spans="10:10" x14ac:dyDescent="0.2">
      <c r="J155" s="23"/>
    </row>
    <row r="156" spans="10:10" x14ac:dyDescent="0.2">
      <c r="J156" s="23"/>
    </row>
    <row r="157" spans="10:10" x14ac:dyDescent="0.2">
      <c r="J157" s="23"/>
    </row>
    <row r="158" spans="10:10" x14ac:dyDescent="0.2">
      <c r="J158" s="23"/>
    </row>
    <row r="159" spans="10:10" x14ac:dyDescent="0.2">
      <c r="J159" s="23"/>
    </row>
    <row r="160" spans="10:10" x14ac:dyDescent="0.2">
      <c r="J160" s="23"/>
    </row>
    <row r="161" spans="10:10" x14ac:dyDescent="0.2">
      <c r="J161" s="23"/>
    </row>
    <row r="162" spans="10:10" x14ac:dyDescent="0.2">
      <c r="J162" s="23"/>
    </row>
    <row r="163" spans="10:10" x14ac:dyDescent="0.2">
      <c r="J163" s="23"/>
    </row>
    <row r="164" spans="10:10" x14ac:dyDescent="0.2">
      <c r="J164" s="23"/>
    </row>
    <row r="165" spans="10:10" x14ac:dyDescent="0.2">
      <c r="J165" s="23"/>
    </row>
    <row r="166" spans="10:10" x14ac:dyDescent="0.2">
      <c r="J166" s="23"/>
    </row>
    <row r="167" spans="10:10" x14ac:dyDescent="0.2">
      <c r="J167" s="23"/>
    </row>
    <row r="168" spans="10:10" x14ac:dyDescent="0.2">
      <c r="J168" s="23"/>
    </row>
    <row r="169" spans="10:10" x14ac:dyDescent="0.2">
      <c r="J169" s="23"/>
    </row>
    <row r="170" spans="10:10" x14ac:dyDescent="0.2">
      <c r="J170" s="23"/>
    </row>
    <row r="171" spans="10:10" x14ac:dyDescent="0.2">
      <c r="J171" s="23"/>
    </row>
    <row r="172" spans="10:10" x14ac:dyDescent="0.2">
      <c r="J172" s="23"/>
    </row>
    <row r="173" spans="10:10" x14ac:dyDescent="0.2">
      <c r="J173" s="23"/>
    </row>
    <row r="174" spans="10:10" x14ac:dyDescent="0.2">
      <c r="J174" s="23"/>
    </row>
    <row r="175" spans="10:10" x14ac:dyDescent="0.2">
      <c r="J175" s="23"/>
    </row>
    <row r="176" spans="10:10" x14ac:dyDescent="0.2">
      <c r="J176" s="23"/>
    </row>
    <row r="177" spans="10:10" x14ac:dyDescent="0.2">
      <c r="J177" s="23"/>
    </row>
    <row r="178" spans="10:10" x14ac:dyDescent="0.2">
      <c r="J178" s="23"/>
    </row>
    <row r="179" spans="10:10" x14ac:dyDescent="0.2">
      <c r="J179" s="23"/>
    </row>
    <row r="180" spans="10:10" x14ac:dyDescent="0.2">
      <c r="J180" s="23"/>
    </row>
    <row r="181" spans="10:10" x14ac:dyDescent="0.2">
      <c r="J181" s="23"/>
    </row>
    <row r="182" spans="10:10" x14ac:dyDescent="0.2">
      <c r="J182" s="23"/>
    </row>
    <row r="183" spans="10:10" x14ac:dyDescent="0.2">
      <c r="J183" s="23"/>
    </row>
    <row r="184" spans="10:10" x14ac:dyDescent="0.2">
      <c r="J184" s="23"/>
    </row>
    <row r="185" spans="10:10" x14ac:dyDescent="0.2">
      <c r="J185" s="23"/>
    </row>
    <row r="186" spans="10:10" x14ac:dyDescent="0.2">
      <c r="J186" s="23"/>
    </row>
    <row r="187" spans="10:10" x14ac:dyDescent="0.2">
      <c r="J187" s="23"/>
    </row>
    <row r="188" spans="10:10" x14ac:dyDescent="0.2">
      <c r="J188" s="23"/>
    </row>
    <row r="189" spans="10:10" x14ac:dyDescent="0.2">
      <c r="J189" s="23"/>
    </row>
    <row r="190" spans="10:10" x14ac:dyDescent="0.2">
      <c r="J190" s="23"/>
    </row>
    <row r="191" spans="10:10" x14ac:dyDescent="0.2">
      <c r="J191" s="23"/>
    </row>
    <row r="192" spans="10:10" x14ac:dyDescent="0.2">
      <c r="J192" s="23"/>
    </row>
    <row r="193" spans="10:10" x14ac:dyDescent="0.2">
      <c r="J193" s="23"/>
    </row>
    <row r="194" spans="10:10" x14ac:dyDescent="0.2">
      <c r="J194" s="23"/>
    </row>
    <row r="195" spans="10:10" x14ac:dyDescent="0.2">
      <c r="J195" s="23"/>
    </row>
    <row r="196" spans="10:10" x14ac:dyDescent="0.2">
      <c r="J196" s="23"/>
    </row>
    <row r="197" spans="10:10" x14ac:dyDescent="0.2">
      <c r="J197" s="23"/>
    </row>
    <row r="198" spans="10:10" x14ac:dyDescent="0.2">
      <c r="J198" s="23"/>
    </row>
    <row r="199" spans="10:10" x14ac:dyDescent="0.2">
      <c r="J199" s="23"/>
    </row>
    <row r="200" spans="10:10" x14ac:dyDescent="0.2">
      <c r="J200" s="23"/>
    </row>
    <row r="201" spans="10:10" x14ac:dyDescent="0.2">
      <c r="J201" s="23"/>
    </row>
    <row r="202" spans="10:10" x14ac:dyDescent="0.2">
      <c r="J202" s="23"/>
    </row>
    <row r="203" spans="10:10" x14ac:dyDescent="0.2">
      <c r="J203" s="23"/>
    </row>
    <row r="204" spans="10:10" x14ac:dyDescent="0.2">
      <c r="J204" s="23"/>
    </row>
    <row r="205" spans="10:10" x14ac:dyDescent="0.2">
      <c r="J205" s="23"/>
    </row>
    <row r="206" spans="10:10" x14ac:dyDescent="0.2">
      <c r="J206" s="23"/>
    </row>
    <row r="207" spans="10:10" x14ac:dyDescent="0.2">
      <c r="J207" s="23"/>
    </row>
    <row r="208" spans="10:10" x14ac:dyDescent="0.2">
      <c r="J208" s="23"/>
    </row>
    <row r="209" spans="10:10" x14ac:dyDescent="0.2">
      <c r="J209" s="23"/>
    </row>
    <row r="210" spans="10:10" x14ac:dyDescent="0.2">
      <c r="J210" s="23"/>
    </row>
    <row r="211" spans="10:10" x14ac:dyDescent="0.2">
      <c r="J211" s="23"/>
    </row>
    <row r="212" spans="10:10" x14ac:dyDescent="0.2">
      <c r="J212" s="23"/>
    </row>
    <row r="213" spans="10:10" x14ac:dyDescent="0.2">
      <c r="J213" s="23"/>
    </row>
    <row r="214" spans="10:10" x14ac:dyDescent="0.2">
      <c r="J214" s="23"/>
    </row>
    <row r="215" spans="10:10" x14ac:dyDescent="0.2">
      <c r="J215" s="23"/>
    </row>
    <row r="216" spans="10:10" x14ac:dyDescent="0.2">
      <c r="J216" s="23"/>
    </row>
    <row r="217" spans="10:10" x14ac:dyDescent="0.2">
      <c r="J217" s="23"/>
    </row>
    <row r="218" spans="10:10" x14ac:dyDescent="0.2">
      <c r="J218" s="23"/>
    </row>
    <row r="219" spans="10:10" x14ac:dyDescent="0.2">
      <c r="J219" s="23"/>
    </row>
    <row r="220" spans="10:10" x14ac:dyDescent="0.2">
      <c r="J220" s="23"/>
    </row>
    <row r="221" spans="10:10" x14ac:dyDescent="0.2">
      <c r="J221" s="23"/>
    </row>
    <row r="222" spans="10:10" x14ac:dyDescent="0.2">
      <c r="J222" s="23"/>
    </row>
    <row r="223" spans="10:10" x14ac:dyDescent="0.2">
      <c r="J223" s="23"/>
    </row>
    <row r="224" spans="10:10" x14ac:dyDescent="0.2">
      <c r="J224" s="23"/>
    </row>
    <row r="225" spans="10:10" x14ac:dyDescent="0.2">
      <c r="J225" s="23"/>
    </row>
    <row r="226" spans="10:10" x14ac:dyDescent="0.2">
      <c r="J226" s="23"/>
    </row>
    <row r="227" spans="10:10" x14ac:dyDescent="0.2">
      <c r="J227" s="23"/>
    </row>
    <row r="228" spans="10:10" x14ac:dyDescent="0.2">
      <c r="J228" s="23"/>
    </row>
    <row r="229" spans="10:10" x14ac:dyDescent="0.2">
      <c r="J229" s="23"/>
    </row>
    <row r="230" spans="10:10" x14ac:dyDescent="0.2">
      <c r="J230" s="23"/>
    </row>
    <row r="231" spans="10:10" x14ac:dyDescent="0.2">
      <c r="J231" s="23"/>
    </row>
    <row r="232" spans="10:10" x14ac:dyDescent="0.2">
      <c r="J232" s="23"/>
    </row>
    <row r="233" spans="10:10" x14ac:dyDescent="0.2">
      <c r="J233" s="23"/>
    </row>
    <row r="234" spans="10:10" x14ac:dyDescent="0.2">
      <c r="J234" s="23"/>
    </row>
    <row r="235" spans="10:10" x14ac:dyDescent="0.2">
      <c r="J235" s="23"/>
    </row>
    <row r="236" spans="10:10" x14ac:dyDescent="0.2">
      <c r="J236" s="23"/>
    </row>
    <row r="237" spans="10:10" x14ac:dyDescent="0.2">
      <c r="J237" s="23"/>
    </row>
    <row r="238" spans="10:10" x14ac:dyDescent="0.2">
      <c r="J238" s="23"/>
    </row>
    <row r="239" spans="10:10" x14ac:dyDescent="0.2">
      <c r="J239" s="23"/>
    </row>
    <row r="240" spans="10:10" x14ac:dyDescent="0.2">
      <c r="J240" s="23"/>
    </row>
    <row r="241" spans="10:10" x14ac:dyDescent="0.2">
      <c r="J241" s="23"/>
    </row>
    <row r="242" spans="10:10" x14ac:dyDescent="0.2">
      <c r="J242" s="23"/>
    </row>
    <row r="243" spans="10:10" x14ac:dyDescent="0.2">
      <c r="J243" s="23"/>
    </row>
    <row r="244" spans="10:10" x14ac:dyDescent="0.2">
      <c r="J244" s="23"/>
    </row>
    <row r="245" spans="10:10" x14ac:dyDescent="0.2">
      <c r="J245" s="23"/>
    </row>
    <row r="246" spans="10:10" x14ac:dyDescent="0.2">
      <c r="J246" s="23"/>
    </row>
    <row r="247" spans="10:10" x14ac:dyDescent="0.2">
      <c r="J247" s="23"/>
    </row>
    <row r="248" spans="10:10" x14ac:dyDescent="0.2">
      <c r="J248" s="23"/>
    </row>
    <row r="249" spans="10:10" x14ac:dyDescent="0.2">
      <c r="J249" s="23"/>
    </row>
    <row r="250" spans="10:10" x14ac:dyDescent="0.2">
      <c r="J250" s="23"/>
    </row>
    <row r="251" spans="10:10" x14ac:dyDescent="0.2">
      <c r="J251" s="23"/>
    </row>
    <row r="252" spans="10:10" x14ac:dyDescent="0.2">
      <c r="J252" s="23"/>
    </row>
    <row r="253" spans="10:10" x14ac:dyDescent="0.2">
      <c r="J253" s="23"/>
    </row>
    <row r="254" spans="10:10" x14ac:dyDescent="0.2">
      <c r="J254" s="23"/>
    </row>
    <row r="255" spans="10:10" x14ac:dyDescent="0.2">
      <c r="J255" s="23"/>
    </row>
    <row r="256" spans="10:10" x14ac:dyDescent="0.2">
      <c r="J256" s="23"/>
    </row>
    <row r="257" spans="10:10" x14ac:dyDescent="0.2">
      <c r="J257" s="23"/>
    </row>
    <row r="258" spans="10:10" x14ac:dyDescent="0.2">
      <c r="J258" s="23"/>
    </row>
    <row r="259" spans="10:10" x14ac:dyDescent="0.2">
      <c r="J259" s="23"/>
    </row>
    <row r="260" spans="10:10" x14ac:dyDescent="0.2">
      <c r="J260" s="23"/>
    </row>
    <row r="261" spans="10:10" x14ac:dyDescent="0.2">
      <c r="J261" s="23"/>
    </row>
    <row r="262" spans="10:10" x14ac:dyDescent="0.2">
      <c r="J262" s="23"/>
    </row>
    <row r="263" spans="10:10" x14ac:dyDescent="0.2">
      <c r="J263" s="23"/>
    </row>
    <row r="264" spans="10:10" x14ac:dyDescent="0.2">
      <c r="J264" s="23"/>
    </row>
    <row r="265" spans="10:10" x14ac:dyDescent="0.2">
      <c r="J265" s="23"/>
    </row>
    <row r="266" spans="10:10" x14ac:dyDescent="0.2">
      <c r="J266" s="23"/>
    </row>
    <row r="267" spans="10:10" x14ac:dyDescent="0.2">
      <c r="J267" s="23"/>
    </row>
    <row r="268" spans="10:10" x14ac:dyDescent="0.2">
      <c r="J268" s="23"/>
    </row>
    <row r="269" spans="10:10" x14ac:dyDescent="0.2">
      <c r="J269" s="23"/>
    </row>
    <row r="270" spans="10:10" x14ac:dyDescent="0.2">
      <c r="J270" s="23"/>
    </row>
    <row r="271" spans="10:10" x14ac:dyDescent="0.2">
      <c r="J271" s="23"/>
    </row>
    <row r="272" spans="10:10" x14ac:dyDescent="0.2">
      <c r="J272" s="23"/>
    </row>
    <row r="273" spans="10:10" x14ac:dyDescent="0.2">
      <c r="J273" s="23"/>
    </row>
    <row r="274" spans="10:10" x14ac:dyDescent="0.2">
      <c r="J274" s="23"/>
    </row>
    <row r="275" spans="10:10" x14ac:dyDescent="0.2">
      <c r="J275" s="23"/>
    </row>
    <row r="276" spans="10:10" x14ac:dyDescent="0.2">
      <c r="J276" s="23"/>
    </row>
    <row r="277" spans="10:10" x14ac:dyDescent="0.2">
      <c r="J277" s="23"/>
    </row>
    <row r="278" spans="10:10" x14ac:dyDescent="0.2">
      <c r="J278" s="23"/>
    </row>
    <row r="279" spans="10:10" x14ac:dyDescent="0.2">
      <c r="J279" s="23"/>
    </row>
    <row r="280" spans="10:10" x14ac:dyDescent="0.2">
      <c r="J280" s="23"/>
    </row>
    <row r="281" spans="10:10" x14ac:dyDescent="0.2">
      <c r="J281" s="23"/>
    </row>
    <row r="282" spans="10:10" x14ac:dyDescent="0.2">
      <c r="J282" s="23"/>
    </row>
    <row r="283" spans="10:10" x14ac:dyDescent="0.2">
      <c r="J283" s="23"/>
    </row>
    <row r="284" spans="10:10" x14ac:dyDescent="0.2">
      <c r="J284" s="23"/>
    </row>
    <row r="285" spans="10:10" x14ac:dyDescent="0.2">
      <c r="J285" s="23"/>
    </row>
    <row r="286" spans="10:10" x14ac:dyDescent="0.2">
      <c r="J286" s="23"/>
    </row>
    <row r="287" spans="10:10" x14ac:dyDescent="0.2">
      <c r="J287" s="23"/>
    </row>
    <row r="288" spans="10:10" x14ac:dyDescent="0.2">
      <c r="J288" s="23"/>
    </row>
    <row r="289" spans="10:10" x14ac:dyDescent="0.2">
      <c r="J289" s="23"/>
    </row>
    <row r="290" spans="10:10" x14ac:dyDescent="0.2">
      <c r="J290" s="23"/>
    </row>
    <row r="291" spans="10:10" x14ac:dyDescent="0.2">
      <c r="J291" s="23"/>
    </row>
    <row r="292" spans="10:10" x14ac:dyDescent="0.2">
      <c r="J292" s="23"/>
    </row>
    <row r="293" spans="10:10" x14ac:dyDescent="0.2">
      <c r="J293" s="23"/>
    </row>
    <row r="294" spans="10:10" x14ac:dyDescent="0.2">
      <c r="J294" s="23"/>
    </row>
    <row r="295" spans="10:10" x14ac:dyDescent="0.2">
      <c r="J295" s="23"/>
    </row>
    <row r="296" spans="10:10" x14ac:dyDescent="0.2">
      <c r="J296" s="23"/>
    </row>
    <row r="297" spans="10:10" x14ac:dyDescent="0.2">
      <c r="J297" s="23"/>
    </row>
    <row r="298" spans="10:10" x14ac:dyDescent="0.2">
      <c r="J298" s="23"/>
    </row>
    <row r="299" spans="10:10" x14ac:dyDescent="0.2">
      <c r="J299" s="23"/>
    </row>
    <row r="300" spans="10:10" x14ac:dyDescent="0.2">
      <c r="J300" s="23"/>
    </row>
    <row r="301" spans="10:10" x14ac:dyDescent="0.2">
      <c r="J301" s="23"/>
    </row>
    <row r="302" spans="10:10" x14ac:dyDescent="0.2">
      <c r="J302" s="23"/>
    </row>
    <row r="303" spans="10:10" x14ac:dyDescent="0.2">
      <c r="J303" s="23"/>
    </row>
    <row r="304" spans="10:10" x14ac:dyDescent="0.2">
      <c r="J304" s="23"/>
    </row>
    <row r="305" spans="10:10" x14ac:dyDescent="0.2">
      <c r="J305" s="23"/>
    </row>
    <row r="306" spans="10:10" x14ac:dyDescent="0.2">
      <c r="J306" s="23"/>
    </row>
    <row r="307" spans="10:10" x14ac:dyDescent="0.2">
      <c r="J307" s="23"/>
    </row>
    <row r="308" spans="10:10" x14ac:dyDescent="0.2">
      <c r="J308" s="23"/>
    </row>
    <row r="309" spans="10:10" x14ac:dyDescent="0.2">
      <c r="J309" s="23"/>
    </row>
    <row r="310" spans="10:10" x14ac:dyDescent="0.2">
      <c r="J310" s="23"/>
    </row>
    <row r="311" spans="10:10" x14ac:dyDescent="0.2">
      <c r="J311" s="23"/>
    </row>
    <row r="312" spans="10:10" x14ac:dyDescent="0.2">
      <c r="J312" s="23"/>
    </row>
    <row r="313" spans="10:10" x14ac:dyDescent="0.2">
      <c r="J313" s="23"/>
    </row>
    <row r="314" spans="10:10" x14ac:dyDescent="0.2">
      <c r="J314" s="23"/>
    </row>
    <row r="315" spans="10:10" x14ac:dyDescent="0.2">
      <c r="J315" s="23"/>
    </row>
    <row r="316" spans="10:10" x14ac:dyDescent="0.2">
      <c r="J316" s="23"/>
    </row>
    <row r="317" spans="10:10" x14ac:dyDescent="0.2">
      <c r="J317" s="23"/>
    </row>
    <row r="318" spans="10:10" x14ac:dyDescent="0.2">
      <c r="J318" s="23"/>
    </row>
    <row r="319" spans="10:10" x14ac:dyDescent="0.2">
      <c r="J319" s="23"/>
    </row>
    <row r="320" spans="10:10" x14ac:dyDescent="0.2">
      <c r="J320" s="23"/>
    </row>
    <row r="321" spans="10:10" x14ac:dyDescent="0.2">
      <c r="J321" s="23"/>
    </row>
    <row r="322" spans="10:10" x14ac:dyDescent="0.2">
      <c r="J322" s="23"/>
    </row>
    <row r="323" spans="10:10" x14ac:dyDescent="0.2">
      <c r="J323" s="23"/>
    </row>
    <row r="324" spans="10:10" x14ac:dyDescent="0.2">
      <c r="J324" s="23"/>
    </row>
    <row r="325" spans="10:10" x14ac:dyDescent="0.2">
      <c r="J325" s="23"/>
    </row>
    <row r="326" spans="10:10" x14ac:dyDescent="0.2">
      <c r="J326" s="23"/>
    </row>
    <row r="327" spans="10:10" x14ac:dyDescent="0.2">
      <c r="J327" s="23"/>
    </row>
    <row r="328" spans="10:10" x14ac:dyDescent="0.2">
      <c r="J328" s="23"/>
    </row>
    <row r="329" spans="10:10" x14ac:dyDescent="0.2">
      <c r="J329" s="23"/>
    </row>
    <row r="330" spans="10:10" x14ac:dyDescent="0.2">
      <c r="J330" s="23"/>
    </row>
    <row r="331" spans="10:10" x14ac:dyDescent="0.2">
      <c r="J331" s="23"/>
    </row>
    <row r="332" spans="10:10" x14ac:dyDescent="0.2">
      <c r="J332" s="23"/>
    </row>
    <row r="333" spans="10:10" x14ac:dyDescent="0.2">
      <c r="J333" s="23"/>
    </row>
    <row r="334" spans="10:10" x14ac:dyDescent="0.2">
      <c r="J334" s="23"/>
    </row>
    <row r="335" spans="10:10" x14ac:dyDescent="0.2">
      <c r="J335" s="23"/>
    </row>
    <row r="336" spans="10:10" x14ac:dyDescent="0.2">
      <c r="J336" s="23"/>
    </row>
    <row r="337" spans="10:10" x14ac:dyDescent="0.2">
      <c r="J337" s="23"/>
    </row>
    <row r="338" spans="10:10" x14ac:dyDescent="0.2">
      <c r="J338" s="23"/>
    </row>
    <row r="339" spans="10:10" x14ac:dyDescent="0.2">
      <c r="J339" s="23"/>
    </row>
    <row r="340" spans="10:10" x14ac:dyDescent="0.2">
      <c r="J340" s="23"/>
    </row>
    <row r="341" spans="10:10" x14ac:dyDescent="0.2">
      <c r="J341" s="23"/>
    </row>
    <row r="342" spans="10:10" x14ac:dyDescent="0.2">
      <c r="J342" s="23"/>
    </row>
    <row r="343" spans="10:10" x14ac:dyDescent="0.2">
      <c r="J343" s="23"/>
    </row>
    <row r="344" spans="10:10" x14ac:dyDescent="0.2">
      <c r="J344" s="23"/>
    </row>
    <row r="345" spans="10:10" x14ac:dyDescent="0.2">
      <c r="J345" s="23"/>
    </row>
    <row r="346" spans="10:10" x14ac:dyDescent="0.2">
      <c r="J346" s="23"/>
    </row>
    <row r="347" spans="10:10" x14ac:dyDescent="0.2">
      <c r="J347" s="23"/>
    </row>
    <row r="348" spans="10:10" x14ac:dyDescent="0.2">
      <c r="J348" s="23"/>
    </row>
    <row r="349" spans="10:10" x14ac:dyDescent="0.2">
      <c r="J349" s="23"/>
    </row>
    <row r="350" spans="10:10" x14ac:dyDescent="0.2">
      <c r="J350" s="23"/>
    </row>
    <row r="351" spans="10:10" x14ac:dyDescent="0.2">
      <c r="J351" s="23"/>
    </row>
    <row r="352" spans="10:10" x14ac:dyDescent="0.2">
      <c r="J352" s="23"/>
    </row>
    <row r="353" spans="10:10" x14ac:dyDescent="0.2">
      <c r="J353" s="23"/>
    </row>
    <row r="354" spans="10:10" x14ac:dyDescent="0.2">
      <c r="J354" s="23"/>
    </row>
    <row r="355" spans="10:10" x14ac:dyDescent="0.2">
      <c r="J355" s="23"/>
    </row>
    <row r="356" spans="10:10" x14ac:dyDescent="0.2">
      <c r="J356" s="23"/>
    </row>
    <row r="357" spans="10:10" x14ac:dyDescent="0.2">
      <c r="J357" s="23"/>
    </row>
    <row r="358" spans="10:10" x14ac:dyDescent="0.2">
      <c r="J358" s="23"/>
    </row>
    <row r="359" spans="10:10" x14ac:dyDescent="0.2">
      <c r="J359" s="23"/>
    </row>
    <row r="360" spans="10:10" x14ac:dyDescent="0.2">
      <c r="J360" s="23"/>
    </row>
    <row r="361" spans="10:10" x14ac:dyDescent="0.2">
      <c r="J361" s="23"/>
    </row>
    <row r="362" spans="10:10" x14ac:dyDescent="0.2">
      <c r="J362" s="23"/>
    </row>
    <row r="363" spans="10:10" x14ac:dyDescent="0.2">
      <c r="J363" s="23"/>
    </row>
    <row r="364" spans="10:10" x14ac:dyDescent="0.2">
      <c r="J364" s="23"/>
    </row>
    <row r="365" spans="10:10" x14ac:dyDescent="0.2">
      <c r="J365" s="23"/>
    </row>
    <row r="366" spans="10:10" x14ac:dyDescent="0.2">
      <c r="J366" s="23"/>
    </row>
    <row r="367" spans="10:10" x14ac:dyDescent="0.2">
      <c r="J367" s="23"/>
    </row>
    <row r="368" spans="10:10" x14ac:dyDescent="0.2">
      <c r="J368" s="23"/>
    </row>
    <row r="369" spans="10:10" x14ac:dyDescent="0.2">
      <c r="J369" s="23"/>
    </row>
    <row r="370" spans="10:10" x14ac:dyDescent="0.2">
      <c r="J370" s="23"/>
    </row>
    <row r="371" spans="10:10" x14ac:dyDescent="0.2">
      <c r="J371" s="23"/>
    </row>
    <row r="372" spans="10:10" x14ac:dyDescent="0.2">
      <c r="J372" s="23"/>
    </row>
    <row r="373" spans="10:10" x14ac:dyDescent="0.2">
      <c r="J373" s="23"/>
    </row>
    <row r="374" spans="10:10" x14ac:dyDescent="0.2">
      <c r="J374" s="23"/>
    </row>
    <row r="375" spans="10:10" x14ac:dyDescent="0.2">
      <c r="J375" s="23"/>
    </row>
    <row r="376" spans="10:10" x14ac:dyDescent="0.2">
      <c r="J376" s="23"/>
    </row>
    <row r="377" spans="10:10" x14ac:dyDescent="0.2">
      <c r="J377" s="23"/>
    </row>
    <row r="378" spans="10:10" x14ac:dyDescent="0.2">
      <c r="J378" s="23"/>
    </row>
    <row r="379" spans="10:10" x14ac:dyDescent="0.2">
      <c r="J379" s="23"/>
    </row>
    <row r="380" spans="10:10" x14ac:dyDescent="0.2">
      <c r="J380" s="23"/>
    </row>
    <row r="381" spans="10:10" x14ac:dyDescent="0.2">
      <c r="J381" s="23"/>
    </row>
    <row r="382" spans="10:10" x14ac:dyDescent="0.2">
      <c r="J382" s="23"/>
    </row>
    <row r="383" spans="10:10" x14ac:dyDescent="0.2">
      <c r="J383" s="23"/>
    </row>
    <row r="384" spans="10:10" x14ac:dyDescent="0.2">
      <c r="J384" s="23"/>
    </row>
    <row r="385" spans="10:10" x14ac:dyDescent="0.2">
      <c r="J385" s="23"/>
    </row>
    <row r="386" spans="10:10" x14ac:dyDescent="0.2">
      <c r="J386" s="23"/>
    </row>
    <row r="387" spans="10:10" x14ac:dyDescent="0.2">
      <c r="J387" s="23"/>
    </row>
    <row r="388" spans="10:10" x14ac:dyDescent="0.2">
      <c r="J388" s="23"/>
    </row>
    <row r="389" spans="10:10" x14ac:dyDescent="0.2">
      <c r="J389" s="23"/>
    </row>
    <row r="390" spans="10:10" x14ac:dyDescent="0.2">
      <c r="J390" s="23"/>
    </row>
    <row r="391" spans="10:10" x14ac:dyDescent="0.2">
      <c r="J391" s="23"/>
    </row>
    <row r="392" spans="10:10" x14ac:dyDescent="0.2">
      <c r="J392" s="23"/>
    </row>
    <row r="393" spans="10:10" x14ac:dyDescent="0.2">
      <c r="J393" s="23"/>
    </row>
    <row r="394" spans="10:10" x14ac:dyDescent="0.2">
      <c r="J394" s="23"/>
    </row>
    <row r="395" spans="10:10" x14ac:dyDescent="0.2">
      <c r="J395" s="23"/>
    </row>
    <row r="396" spans="10:10" x14ac:dyDescent="0.2">
      <c r="J396" s="23"/>
    </row>
    <row r="397" spans="10:10" x14ac:dyDescent="0.2">
      <c r="J397" s="23"/>
    </row>
    <row r="398" spans="10:10" x14ac:dyDescent="0.2">
      <c r="J398" s="23"/>
    </row>
    <row r="399" spans="10:10" x14ac:dyDescent="0.2">
      <c r="J399" s="23"/>
    </row>
    <row r="400" spans="10:10" x14ac:dyDescent="0.2">
      <c r="J400" s="23"/>
    </row>
    <row r="401" spans="10:10" x14ac:dyDescent="0.2">
      <c r="J401" s="23"/>
    </row>
    <row r="402" spans="10:10" x14ac:dyDescent="0.2">
      <c r="J402" s="23"/>
    </row>
    <row r="403" spans="10:10" x14ac:dyDescent="0.2">
      <c r="J403" s="23"/>
    </row>
    <row r="404" spans="10:10" x14ac:dyDescent="0.2">
      <c r="J404" s="23"/>
    </row>
    <row r="405" spans="10:10" x14ac:dyDescent="0.2">
      <c r="J405" s="23"/>
    </row>
    <row r="406" spans="10:10" x14ac:dyDescent="0.2">
      <c r="J406" s="23"/>
    </row>
    <row r="407" spans="10:10" x14ac:dyDescent="0.2">
      <c r="J407" s="23"/>
    </row>
    <row r="408" spans="10:10" x14ac:dyDescent="0.2">
      <c r="J408" s="23"/>
    </row>
    <row r="409" spans="10:10" x14ac:dyDescent="0.2">
      <c r="J409" s="23"/>
    </row>
    <row r="410" spans="10:10" x14ac:dyDescent="0.2">
      <c r="J410" s="23"/>
    </row>
    <row r="411" spans="10:10" x14ac:dyDescent="0.2">
      <c r="J411" s="23"/>
    </row>
    <row r="412" spans="10:10" x14ac:dyDescent="0.2">
      <c r="J412" s="23"/>
    </row>
    <row r="413" spans="10:10" x14ac:dyDescent="0.2">
      <c r="J413" s="23"/>
    </row>
    <row r="414" spans="10:10" x14ac:dyDescent="0.2">
      <c r="J414" s="23"/>
    </row>
    <row r="415" spans="10:10" x14ac:dyDescent="0.2">
      <c r="J415" s="23"/>
    </row>
    <row r="416" spans="10:10" x14ac:dyDescent="0.2">
      <c r="J416" s="23"/>
    </row>
    <row r="417" spans="10:10" x14ac:dyDescent="0.2">
      <c r="J417" s="23"/>
    </row>
    <row r="418" spans="10:10" x14ac:dyDescent="0.2">
      <c r="J418" s="23"/>
    </row>
    <row r="419" spans="10:10" x14ac:dyDescent="0.2">
      <c r="J419" s="23"/>
    </row>
    <row r="420" spans="10:10" x14ac:dyDescent="0.2">
      <c r="J420" s="23"/>
    </row>
    <row r="421" spans="10:10" x14ac:dyDescent="0.2">
      <c r="J421" s="23"/>
    </row>
    <row r="422" spans="10:10" x14ac:dyDescent="0.2">
      <c r="J422" s="23"/>
    </row>
    <row r="423" spans="10:10" x14ac:dyDescent="0.2">
      <c r="J423" s="23"/>
    </row>
    <row r="424" spans="10:10" x14ac:dyDescent="0.2">
      <c r="J424" s="23"/>
    </row>
    <row r="425" spans="10:10" x14ac:dyDescent="0.2">
      <c r="J425" s="23"/>
    </row>
    <row r="426" spans="10:10" x14ac:dyDescent="0.2">
      <c r="J426" s="23"/>
    </row>
    <row r="427" spans="10:10" x14ac:dyDescent="0.2">
      <c r="J427" s="23"/>
    </row>
    <row r="428" spans="10:10" x14ac:dyDescent="0.2">
      <c r="J428" s="23"/>
    </row>
    <row r="429" spans="10:10" x14ac:dyDescent="0.2">
      <c r="J429" s="23"/>
    </row>
    <row r="430" spans="10:10" x14ac:dyDescent="0.2">
      <c r="J430" s="23"/>
    </row>
    <row r="431" spans="10:10" x14ac:dyDescent="0.2">
      <c r="J431" s="23"/>
    </row>
    <row r="432" spans="10:10" x14ac:dyDescent="0.2">
      <c r="J432" s="23"/>
    </row>
    <row r="433" spans="10:10" x14ac:dyDescent="0.2">
      <c r="J433" s="23"/>
    </row>
    <row r="434" spans="10:10" x14ac:dyDescent="0.2">
      <c r="J434" s="23"/>
    </row>
    <row r="435" spans="10:10" x14ac:dyDescent="0.2">
      <c r="J435" s="23"/>
    </row>
    <row r="436" spans="10:10" x14ac:dyDescent="0.2">
      <c r="J436" s="23"/>
    </row>
    <row r="437" spans="10:10" x14ac:dyDescent="0.2">
      <c r="J437" s="23"/>
    </row>
    <row r="438" spans="10:10" x14ac:dyDescent="0.2">
      <c r="J438" s="23"/>
    </row>
    <row r="439" spans="10:10" x14ac:dyDescent="0.2">
      <c r="J439" s="23"/>
    </row>
    <row r="440" spans="10:10" x14ac:dyDescent="0.2">
      <c r="J440" s="23"/>
    </row>
    <row r="441" spans="10:10" x14ac:dyDescent="0.2">
      <c r="J441" s="23"/>
    </row>
    <row r="442" spans="10:10" x14ac:dyDescent="0.2">
      <c r="J442" s="23"/>
    </row>
    <row r="443" spans="10:10" x14ac:dyDescent="0.2">
      <c r="J443" s="23"/>
    </row>
    <row r="444" spans="10:10" x14ac:dyDescent="0.2">
      <c r="J444" s="23"/>
    </row>
    <row r="445" spans="10:10" x14ac:dyDescent="0.2">
      <c r="J445" s="23"/>
    </row>
    <row r="446" spans="10:10" x14ac:dyDescent="0.2">
      <c r="J446" s="23"/>
    </row>
    <row r="447" spans="10:10" x14ac:dyDescent="0.2">
      <c r="J447" s="23"/>
    </row>
    <row r="448" spans="10:10" x14ac:dyDescent="0.2">
      <c r="J448" s="23"/>
    </row>
    <row r="449" spans="10:10" x14ac:dyDescent="0.2">
      <c r="J449" s="23"/>
    </row>
    <row r="450" spans="10:10" x14ac:dyDescent="0.2">
      <c r="J450" s="23"/>
    </row>
    <row r="451" spans="10:10" x14ac:dyDescent="0.2">
      <c r="J451" s="23"/>
    </row>
    <row r="452" spans="10:10" x14ac:dyDescent="0.2">
      <c r="J452" s="23"/>
    </row>
    <row r="453" spans="10:10" x14ac:dyDescent="0.2">
      <c r="J453" s="23"/>
    </row>
    <row r="454" spans="10:10" x14ac:dyDescent="0.2">
      <c r="J454" s="23"/>
    </row>
    <row r="455" spans="10:10" x14ac:dyDescent="0.2">
      <c r="J455" s="23"/>
    </row>
    <row r="456" spans="10:10" x14ac:dyDescent="0.2">
      <c r="J456" s="23"/>
    </row>
    <row r="457" spans="10:10" x14ac:dyDescent="0.2">
      <c r="J457" s="23"/>
    </row>
    <row r="458" spans="10:10" x14ac:dyDescent="0.2">
      <c r="J458" s="23"/>
    </row>
    <row r="459" spans="10:10" x14ac:dyDescent="0.2">
      <c r="J459" s="23"/>
    </row>
    <row r="460" spans="10:10" x14ac:dyDescent="0.2">
      <c r="J460" s="23"/>
    </row>
    <row r="461" spans="10:10" x14ac:dyDescent="0.2">
      <c r="J461" s="23"/>
    </row>
    <row r="462" spans="10:10" x14ac:dyDescent="0.2">
      <c r="J462" s="23"/>
    </row>
    <row r="463" spans="10:10" x14ac:dyDescent="0.2">
      <c r="J463" s="23"/>
    </row>
    <row r="464" spans="10:10" x14ac:dyDescent="0.2">
      <c r="J464" s="23"/>
    </row>
    <row r="465" spans="10:10" x14ac:dyDescent="0.2">
      <c r="J465" s="23"/>
    </row>
    <row r="466" spans="10:10" x14ac:dyDescent="0.2">
      <c r="J466" s="23"/>
    </row>
    <row r="467" spans="10:10" x14ac:dyDescent="0.2">
      <c r="J467" s="23"/>
    </row>
    <row r="468" spans="10:10" x14ac:dyDescent="0.2">
      <c r="J468" s="23"/>
    </row>
    <row r="469" spans="10:10" x14ac:dyDescent="0.2">
      <c r="J469" s="23"/>
    </row>
    <row r="470" spans="10:10" x14ac:dyDescent="0.2">
      <c r="J470" s="23"/>
    </row>
    <row r="471" spans="10:10" x14ac:dyDescent="0.2">
      <c r="J471" s="23"/>
    </row>
    <row r="472" spans="10:10" x14ac:dyDescent="0.2">
      <c r="J472" s="23"/>
    </row>
    <row r="473" spans="10:10" x14ac:dyDescent="0.2">
      <c r="J473" s="23"/>
    </row>
    <row r="474" spans="10:10" x14ac:dyDescent="0.2">
      <c r="J474" s="23"/>
    </row>
    <row r="475" spans="10:10" x14ac:dyDescent="0.2">
      <c r="J475" s="23"/>
    </row>
    <row r="476" spans="10:10" x14ac:dyDescent="0.2">
      <c r="J476" s="23"/>
    </row>
    <row r="477" spans="10:10" x14ac:dyDescent="0.2">
      <c r="J477" s="23"/>
    </row>
    <row r="478" spans="10:10" x14ac:dyDescent="0.2">
      <c r="J478" s="23"/>
    </row>
    <row r="479" spans="10:10" x14ac:dyDescent="0.2">
      <c r="J479" s="23"/>
    </row>
    <row r="480" spans="10:10" x14ac:dyDescent="0.2">
      <c r="J480" s="23"/>
    </row>
    <row r="481" spans="10:10" x14ac:dyDescent="0.2">
      <c r="J481" s="23"/>
    </row>
    <row r="482" spans="10:10" x14ac:dyDescent="0.2">
      <c r="J482" s="23"/>
    </row>
    <row r="483" spans="10:10" x14ac:dyDescent="0.2">
      <c r="J483" s="23"/>
    </row>
    <row r="484" spans="10:10" x14ac:dyDescent="0.2">
      <c r="J484" s="23"/>
    </row>
    <row r="485" spans="10:10" x14ac:dyDescent="0.2">
      <c r="J485" s="23"/>
    </row>
    <row r="486" spans="10:10" x14ac:dyDescent="0.2">
      <c r="J486" s="23"/>
    </row>
    <row r="487" spans="10:10" x14ac:dyDescent="0.2">
      <c r="J487" s="23"/>
    </row>
    <row r="488" spans="10:10" x14ac:dyDescent="0.2">
      <c r="J488" s="23"/>
    </row>
    <row r="489" spans="10:10" x14ac:dyDescent="0.2">
      <c r="J489" s="23"/>
    </row>
    <row r="490" spans="10:10" x14ac:dyDescent="0.2">
      <c r="J490" s="23"/>
    </row>
    <row r="491" spans="10:10" x14ac:dyDescent="0.2">
      <c r="J491" s="23"/>
    </row>
    <row r="492" spans="10:10" x14ac:dyDescent="0.2">
      <c r="J492" s="23"/>
    </row>
    <row r="493" spans="10:10" x14ac:dyDescent="0.2">
      <c r="J493" s="23"/>
    </row>
    <row r="494" spans="10:10" x14ac:dyDescent="0.2">
      <c r="J494" s="23"/>
    </row>
    <row r="495" spans="10:10" x14ac:dyDescent="0.2">
      <c r="J495" s="23"/>
    </row>
    <row r="496" spans="10:10" x14ac:dyDescent="0.2">
      <c r="J496" s="23"/>
    </row>
    <row r="497" spans="10:10" x14ac:dyDescent="0.2">
      <c r="J497" s="23"/>
    </row>
    <row r="498" spans="10:10" x14ac:dyDescent="0.2">
      <c r="J498" s="23"/>
    </row>
    <row r="499" spans="10:10" x14ac:dyDescent="0.2">
      <c r="J499" s="23"/>
    </row>
    <row r="500" spans="10:10" x14ac:dyDescent="0.2">
      <c r="J500" s="23"/>
    </row>
    <row r="501" spans="10:10" x14ac:dyDescent="0.2">
      <c r="J501" s="23"/>
    </row>
    <row r="502" spans="10:10" x14ac:dyDescent="0.2">
      <c r="J502" s="23"/>
    </row>
    <row r="503" spans="10:10" x14ac:dyDescent="0.2">
      <c r="J503" s="23"/>
    </row>
    <row r="504" spans="10:10" x14ac:dyDescent="0.2">
      <c r="J504" s="23"/>
    </row>
    <row r="505" spans="10:10" x14ac:dyDescent="0.2">
      <c r="J505" s="23"/>
    </row>
    <row r="506" spans="10:10" x14ac:dyDescent="0.2">
      <c r="J506" s="23"/>
    </row>
    <row r="507" spans="10:10" x14ac:dyDescent="0.2">
      <c r="J507" s="23"/>
    </row>
    <row r="508" spans="10:10" x14ac:dyDescent="0.2">
      <c r="J508" s="23"/>
    </row>
    <row r="509" spans="10:10" x14ac:dyDescent="0.2">
      <c r="J509" s="23"/>
    </row>
    <row r="510" spans="10:10" x14ac:dyDescent="0.2">
      <c r="J510" s="23"/>
    </row>
    <row r="511" spans="10:10" x14ac:dyDescent="0.2">
      <c r="J511" s="23"/>
    </row>
    <row r="512" spans="10:10" x14ac:dyDescent="0.2">
      <c r="J512" s="23"/>
    </row>
    <row r="513" spans="10:10" x14ac:dyDescent="0.2">
      <c r="J513" s="23"/>
    </row>
    <row r="514" spans="10:10" x14ac:dyDescent="0.2">
      <c r="J514" s="23"/>
    </row>
    <row r="515" spans="10:10" x14ac:dyDescent="0.2">
      <c r="J515" s="23"/>
    </row>
    <row r="516" spans="10:10" x14ac:dyDescent="0.2">
      <c r="J516" s="23"/>
    </row>
    <row r="517" spans="10:10" x14ac:dyDescent="0.2">
      <c r="J517" s="23"/>
    </row>
    <row r="518" spans="10:10" x14ac:dyDescent="0.2">
      <c r="J518" s="23"/>
    </row>
    <row r="519" spans="10:10" x14ac:dyDescent="0.2">
      <c r="J519" s="23"/>
    </row>
    <row r="520" spans="10:10" x14ac:dyDescent="0.2">
      <c r="J520" s="23"/>
    </row>
    <row r="521" spans="10:10" x14ac:dyDescent="0.2">
      <c r="J521" s="23"/>
    </row>
    <row r="522" spans="10:10" x14ac:dyDescent="0.2">
      <c r="J522" s="23"/>
    </row>
    <row r="523" spans="10:10" x14ac:dyDescent="0.2">
      <c r="J523" s="23"/>
    </row>
    <row r="524" spans="10:10" x14ac:dyDescent="0.2">
      <c r="J524" s="23"/>
    </row>
    <row r="525" spans="10:10" x14ac:dyDescent="0.2">
      <c r="J525" s="23"/>
    </row>
    <row r="526" spans="10:10" x14ac:dyDescent="0.2">
      <c r="J526" s="23"/>
    </row>
    <row r="527" spans="10:10" x14ac:dyDescent="0.2">
      <c r="J527" s="23"/>
    </row>
    <row r="528" spans="10:10" x14ac:dyDescent="0.2">
      <c r="J528" s="23"/>
    </row>
    <row r="529" spans="10:10" x14ac:dyDescent="0.2">
      <c r="J529" s="23"/>
    </row>
    <row r="530" spans="10:10" x14ac:dyDescent="0.2">
      <c r="J530" s="23"/>
    </row>
    <row r="531" spans="10:10" x14ac:dyDescent="0.2">
      <c r="J531" s="23"/>
    </row>
    <row r="532" spans="10:10" x14ac:dyDescent="0.2">
      <c r="J532" s="23"/>
    </row>
    <row r="533" spans="10:10" x14ac:dyDescent="0.2">
      <c r="J533" s="23"/>
    </row>
    <row r="534" spans="10:10" x14ac:dyDescent="0.2">
      <c r="J534" s="23"/>
    </row>
    <row r="535" spans="10:10" x14ac:dyDescent="0.2">
      <c r="J535" s="23"/>
    </row>
    <row r="536" spans="10:10" x14ac:dyDescent="0.2">
      <c r="J536" s="23"/>
    </row>
    <row r="537" spans="10:10" x14ac:dyDescent="0.2">
      <c r="J537" s="23"/>
    </row>
    <row r="538" spans="10:10" x14ac:dyDescent="0.2">
      <c r="J538" s="23"/>
    </row>
    <row r="539" spans="10:10" x14ac:dyDescent="0.2">
      <c r="J539" s="23"/>
    </row>
    <row r="540" spans="10:10" x14ac:dyDescent="0.2">
      <c r="J540" s="23"/>
    </row>
    <row r="541" spans="10:10" x14ac:dyDescent="0.2">
      <c r="J541" s="23"/>
    </row>
    <row r="542" spans="10:10" x14ac:dyDescent="0.2">
      <c r="J542" s="23"/>
    </row>
    <row r="543" spans="10:10" x14ac:dyDescent="0.2">
      <c r="J543" s="23"/>
    </row>
    <row r="544" spans="10:10" x14ac:dyDescent="0.2">
      <c r="J544" s="23"/>
    </row>
    <row r="545" spans="10:10" x14ac:dyDescent="0.2">
      <c r="J545" s="23"/>
    </row>
    <row r="546" spans="10:10" x14ac:dyDescent="0.2">
      <c r="J546" s="23"/>
    </row>
    <row r="547" spans="10:10" x14ac:dyDescent="0.2">
      <c r="J547" s="23"/>
    </row>
    <row r="548" spans="10:10" x14ac:dyDescent="0.2">
      <c r="J548" s="23"/>
    </row>
    <row r="549" spans="10:10" x14ac:dyDescent="0.2">
      <c r="J549" s="23"/>
    </row>
    <row r="550" spans="10:10" x14ac:dyDescent="0.2">
      <c r="J550" s="23"/>
    </row>
    <row r="551" spans="10:10" x14ac:dyDescent="0.2">
      <c r="J551" s="23"/>
    </row>
    <row r="552" spans="10:10" x14ac:dyDescent="0.2">
      <c r="J552" s="23"/>
    </row>
    <row r="553" spans="10:10" x14ac:dyDescent="0.2">
      <c r="J553" s="23"/>
    </row>
    <row r="554" spans="10:10" x14ac:dyDescent="0.2">
      <c r="J554" s="23"/>
    </row>
    <row r="555" spans="10:10" x14ac:dyDescent="0.2">
      <c r="J555" s="23"/>
    </row>
    <row r="556" spans="10:10" x14ac:dyDescent="0.2">
      <c r="J556" s="23"/>
    </row>
    <row r="557" spans="10:10" x14ac:dyDescent="0.2">
      <c r="J557" s="23"/>
    </row>
    <row r="558" spans="10:10" x14ac:dyDescent="0.2">
      <c r="J558" s="23"/>
    </row>
    <row r="559" spans="10:10" x14ac:dyDescent="0.2">
      <c r="J559" s="23"/>
    </row>
    <row r="560" spans="10:10" x14ac:dyDescent="0.2">
      <c r="J560" s="23"/>
    </row>
    <row r="561" spans="10:10" x14ac:dyDescent="0.2">
      <c r="J561" s="23"/>
    </row>
    <row r="562" spans="10:10" x14ac:dyDescent="0.2">
      <c r="J562" s="23"/>
    </row>
    <row r="563" spans="10:10" x14ac:dyDescent="0.2">
      <c r="J563" s="23"/>
    </row>
    <row r="564" spans="10:10" x14ac:dyDescent="0.2">
      <c r="J564" s="23"/>
    </row>
    <row r="565" spans="10:10" x14ac:dyDescent="0.2">
      <c r="J565" s="23"/>
    </row>
    <row r="566" spans="10:10" x14ac:dyDescent="0.2">
      <c r="J566" s="23"/>
    </row>
    <row r="567" spans="10:10" x14ac:dyDescent="0.2">
      <c r="J567" s="23"/>
    </row>
    <row r="568" spans="10:10" x14ac:dyDescent="0.2">
      <c r="J568" s="23"/>
    </row>
    <row r="569" spans="10:10" x14ac:dyDescent="0.2">
      <c r="J569" s="23"/>
    </row>
    <row r="570" spans="10:10" x14ac:dyDescent="0.2">
      <c r="J570" s="23"/>
    </row>
    <row r="571" spans="10:10" x14ac:dyDescent="0.2">
      <c r="J571" s="23"/>
    </row>
    <row r="572" spans="10:10" x14ac:dyDescent="0.2">
      <c r="J572" s="23"/>
    </row>
    <row r="573" spans="10:10" x14ac:dyDescent="0.2">
      <c r="J573" s="23"/>
    </row>
    <row r="574" spans="10:10" x14ac:dyDescent="0.2">
      <c r="J574" s="23"/>
    </row>
    <row r="575" spans="10:10" x14ac:dyDescent="0.2">
      <c r="J575" s="23"/>
    </row>
    <row r="576" spans="10:10" x14ac:dyDescent="0.2">
      <c r="J576" s="23"/>
    </row>
    <row r="577" spans="10:10" x14ac:dyDescent="0.2">
      <c r="J577" s="23"/>
    </row>
    <row r="578" spans="10:10" x14ac:dyDescent="0.2">
      <c r="J578" s="23"/>
    </row>
    <row r="579" spans="10:10" x14ac:dyDescent="0.2">
      <c r="J579" s="23"/>
    </row>
    <row r="580" spans="10:10" x14ac:dyDescent="0.2">
      <c r="J580" s="23"/>
    </row>
    <row r="581" spans="10:10" x14ac:dyDescent="0.2">
      <c r="J581" s="23"/>
    </row>
    <row r="582" spans="10:10" x14ac:dyDescent="0.2">
      <c r="J582" s="23"/>
    </row>
    <row r="583" spans="10:10" x14ac:dyDescent="0.2">
      <c r="J583" s="23"/>
    </row>
    <row r="584" spans="10:10" x14ac:dyDescent="0.2">
      <c r="J584" s="23"/>
    </row>
    <row r="585" spans="10:10" x14ac:dyDescent="0.2">
      <c r="J585" s="23"/>
    </row>
    <row r="586" spans="10:10" x14ac:dyDescent="0.2">
      <c r="J586" s="23"/>
    </row>
    <row r="587" spans="10:10" x14ac:dyDescent="0.2">
      <c r="J587" s="23"/>
    </row>
    <row r="588" spans="10:10" x14ac:dyDescent="0.2">
      <c r="J588" s="23"/>
    </row>
    <row r="589" spans="10:10" x14ac:dyDescent="0.2">
      <c r="J589" s="23"/>
    </row>
    <row r="590" spans="10:10" x14ac:dyDescent="0.2">
      <c r="J590" s="23"/>
    </row>
    <row r="591" spans="10:10" x14ac:dyDescent="0.2">
      <c r="J591" s="23"/>
    </row>
    <row r="592" spans="10:10" x14ac:dyDescent="0.2">
      <c r="J592" s="23"/>
    </row>
  </sheetData>
  <mergeCells count="9">
    <mergeCell ref="C2:D2"/>
    <mergeCell ref="B40:I40"/>
    <mergeCell ref="B41:I46"/>
    <mergeCell ref="C30:F30"/>
    <mergeCell ref="C26:E26"/>
    <mergeCell ref="B4:I4"/>
    <mergeCell ref="C24:E24"/>
    <mergeCell ref="C25:E25"/>
    <mergeCell ref="C6:D6"/>
  </mergeCells>
  <phoneticPr fontId="50" type="noConversion"/>
  <conditionalFormatting sqref="G37">
    <cfRule type="cellIs" dxfId="29" priority="3" stopIfTrue="1" operator="lessThan">
      <formula>0.65</formula>
    </cfRule>
    <cfRule type="cellIs" dxfId="28" priority="4" stopIfTrue="1" operator="greaterThanOrEqual">
      <formula>0.65</formula>
    </cfRule>
  </conditionalFormatting>
  <conditionalFormatting sqref="G38">
    <cfRule type="cellIs" dxfId="27" priority="1" stopIfTrue="1" operator="lessThan">
      <formula>0.85</formula>
    </cfRule>
    <cfRule type="cellIs" dxfId="26" priority="2" stopIfTrue="1" operator="greaterThanOrEqual">
      <formula>0.85</formula>
    </cfRule>
  </conditionalFormatting>
  <pageMargins left="0.78740157499999996" right="0.78740157499999996" top="0.984251969" bottom="0.984251969" header="0.49212598499999999" footer="0.49212598499999999"/>
  <pageSetup paperSize="9" scale="95" orientation="portrait" horizontalDpi="4294967293" r:id="rId1"/>
  <headerFooter alignWithMargins="0">
    <oddHeader>&amp;A</oddHeader>
    <oddFooter>Página &amp;P</oddFooter>
  </headerFooter>
  <ignoredErrors>
    <ignoredError sqref="G37:G38"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7">
    <tabColor rgb="FFFFFF00"/>
    <pageSetUpPr fitToPage="1"/>
  </sheetPr>
  <dimension ref="A1:R94"/>
  <sheetViews>
    <sheetView showGridLines="0" zoomScaleNormal="100" workbookViewId="0">
      <selection activeCell="C8" sqref="C8:N10"/>
    </sheetView>
  </sheetViews>
  <sheetFormatPr defaultColWidth="11.42578125" defaultRowHeight="12.75" x14ac:dyDescent="0.2"/>
  <cols>
    <col min="1" max="1" width="3.140625" style="24" customWidth="1"/>
    <col min="2" max="2" width="42" style="24" customWidth="1"/>
    <col min="3" max="13" width="7.42578125" style="24" customWidth="1"/>
    <col min="14" max="14" width="9.28515625" style="24" bestFit="1" customWidth="1"/>
    <col min="15" max="15" width="9.28515625" style="24" hidden="1" customWidth="1"/>
    <col min="16" max="16" width="9.42578125" style="24" customWidth="1"/>
    <col min="17" max="16384" width="11.42578125" style="28"/>
  </cols>
  <sheetData>
    <row r="1" spans="1:18" ht="6" customHeight="1" thickBot="1" x14ac:dyDescent="0.25">
      <c r="A1" s="28"/>
      <c r="B1" s="25"/>
      <c r="C1" s="25"/>
      <c r="D1" s="25"/>
      <c r="E1" s="25"/>
      <c r="F1" s="25"/>
      <c r="G1" s="25"/>
      <c r="H1" s="25"/>
      <c r="I1" s="25"/>
      <c r="J1" s="25"/>
      <c r="K1" s="25"/>
      <c r="L1" s="25"/>
      <c r="M1" s="25"/>
      <c r="N1" s="25"/>
      <c r="O1" s="25"/>
      <c r="P1" s="25"/>
    </row>
    <row r="2" spans="1:18" ht="21" customHeight="1" thickBot="1" x14ac:dyDescent="0.25">
      <c r="A2" s="28"/>
      <c r="B2" s="1908" t="str">
        <f>CADASTRO!C4</f>
        <v>Digitar o nome</v>
      </c>
      <c r="C2" s="1911"/>
      <c r="D2" s="1911"/>
      <c r="E2" s="1911" t="str">
        <f>CADASTRO!C6</f>
        <v>Digitar o município</v>
      </c>
      <c r="F2" s="1911"/>
      <c r="G2" s="1910"/>
      <c r="H2" s="1911"/>
      <c r="I2" s="1911"/>
      <c r="J2" s="1911"/>
      <c r="K2" s="1911"/>
      <c r="L2" s="1912" t="str">
        <f>CADASTRO!B16</f>
        <v>Microrregião da Emater:</v>
      </c>
      <c r="M2" s="1911">
        <f>CADASTRO!C16</f>
        <v>0</v>
      </c>
      <c r="N2" s="2080">
        <f>IF(CADASTRO!C12=0,"",CADASTRO!C12)</f>
        <v>44013</v>
      </c>
      <c r="O2" s="1911"/>
      <c r="P2" s="2081">
        <f>CADASTRO!C14</f>
        <v>44377</v>
      </c>
    </row>
    <row r="3" spans="1:18" s="25" customFormat="1" ht="5.25" customHeight="1" thickBot="1" x14ac:dyDescent="0.25"/>
    <row r="4" spans="1:18" ht="24" customHeight="1" thickBot="1" x14ac:dyDescent="0.25">
      <c r="B4" s="2803" t="s">
        <v>987</v>
      </c>
      <c r="C4" s="2804"/>
      <c r="D4" s="2804"/>
      <c r="E4" s="2804"/>
      <c r="F4" s="2804"/>
      <c r="G4" s="2804"/>
      <c r="H4" s="2804"/>
      <c r="I4" s="2804"/>
      <c r="J4" s="2804"/>
      <c r="K4" s="2804"/>
      <c r="L4" s="2804"/>
      <c r="M4" s="2804"/>
      <c r="N4" s="2804"/>
      <c r="O4" s="2804"/>
      <c r="P4" s="2805"/>
    </row>
    <row r="5" spans="1:18" ht="8.25" customHeight="1" thickBot="1" x14ac:dyDescent="0.25">
      <c r="A5" s="28"/>
      <c r="B5" s="2174"/>
      <c r="C5" s="476"/>
      <c r="D5" s="476"/>
      <c r="E5" s="476"/>
      <c r="F5" s="476"/>
      <c r="G5" s="476"/>
      <c r="H5" s="476"/>
      <c r="I5" s="476"/>
      <c r="J5" s="476"/>
      <c r="K5" s="476"/>
      <c r="L5" s="476"/>
      <c r="M5" s="476"/>
      <c r="N5" s="476"/>
      <c r="O5" s="476"/>
      <c r="P5" s="25"/>
    </row>
    <row r="6" spans="1:18" ht="21" customHeight="1" thickBot="1" x14ac:dyDescent="0.25">
      <c r="A6" s="28"/>
      <c r="B6" s="2174"/>
      <c r="C6" s="2811" t="s">
        <v>937</v>
      </c>
      <c r="D6" s="2812"/>
      <c r="E6" s="2812"/>
      <c r="F6" s="2812"/>
      <c r="G6" s="2812"/>
      <c r="H6" s="2812"/>
      <c r="I6" s="2812"/>
      <c r="J6" s="2812"/>
      <c r="K6" s="2812"/>
      <c r="L6" s="2812"/>
      <c r="M6" s="2812"/>
      <c r="N6" s="2812"/>
      <c r="O6" s="1795"/>
      <c r="P6" s="1796"/>
    </row>
    <row r="7" spans="1:18" ht="25.5" customHeight="1" thickBot="1" x14ac:dyDescent="0.25">
      <c r="B7" s="2173" t="s">
        <v>974</v>
      </c>
      <c r="C7" s="2182">
        <f>CADASTRO!C12</f>
        <v>44013</v>
      </c>
      <c r="D7" s="2183">
        <f>C7+31</f>
        <v>44044</v>
      </c>
      <c r="E7" s="2183">
        <f t="shared" ref="E7:N7" si="0">D7+31</f>
        <v>44075</v>
      </c>
      <c r="F7" s="2183">
        <f t="shared" si="0"/>
        <v>44106</v>
      </c>
      <c r="G7" s="2183">
        <f t="shared" si="0"/>
        <v>44137</v>
      </c>
      <c r="H7" s="2183">
        <f t="shared" si="0"/>
        <v>44168</v>
      </c>
      <c r="I7" s="2183">
        <f t="shared" si="0"/>
        <v>44199</v>
      </c>
      <c r="J7" s="2183">
        <f t="shared" si="0"/>
        <v>44230</v>
      </c>
      <c r="K7" s="2183">
        <f t="shared" si="0"/>
        <v>44261</v>
      </c>
      <c r="L7" s="2183">
        <f t="shared" si="0"/>
        <v>44292</v>
      </c>
      <c r="M7" s="2183">
        <f t="shared" si="0"/>
        <v>44323</v>
      </c>
      <c r="N7" s="2182">
        <f t="shared" si="0"/>
        <v>44354</v>
      </c>
      <c r="O7" s="2184" t="s">
        <v>878</v>
      </c>
      <c r="P7" s="2172" t="s">
        <v>942</v>
      </c>
      <c r="R7" s="2105"/>
    </row>
    <row r="8" spans="1:18" ht="18" customHeight="1" x14ac:dyDescent="0.2">
      <c r="B8" s="2191" t="s">
        <v>941</v>
      </c>
      <c r="C8" s="2188"/>
      <c r="D8" s="2188"/>
      <c r="E8" s="2188"/>
      <c r="F8" s="2188"/>
      <c r="G8" s="2188"/>
      <c r="H8" s="2188"/>
      <c r="I8" s="2188"/>
      <c r="J8" s="2188"/>
      <c r="K8" s="2188"/>
      <c r="L8" s="2188"/>
      <c r="M8" s="2188"/>
      <c r="N8" s="2188"/>
      <c r="O8" s="1885">
        <f>COUNT(C8:N8)</f>
        <v>0</v>
      </c>
      <c r="P8" s="2187">
        <f>IF(SUM(C8:N8)=0,0,(AVERAGE(C8:N8)))</f>
        <v>0</v>
      </c>
    </row>
    <row r="9" spans="1:18" ht="18" customHeight="1" x14ac:dyDescent="0.2">
      <c r="B9" s="2192" t="s">
        <v>811</v>
      </c>
      <c r="C9" s="2189"/>
      <c r="D9" s="2189"/>
      <c r="E9" s="2189"/>
      <c r="F9" s="2189"/>
      <c r="G9" s="2189"/>
      <c r="H9" s="2189"/>
      <c r="I9" s="2189"/>
      <c r="J9" s="2189"/>
      <c r="K9" s="2189"/>
      <c r="L9" s="2189"/>
      <c r="M9" s="2189"/>
      <c r="N9" s="2189"/>
      <c r="O9" s="1885">
        <f>COUNT(C9:N9)</f>
        <v>0</v>
      </c>
      <c r="P9" s="2187" t="str">
        <f>IF(SUM(C9:N9)=0,"",(AVERAGE(C9:N9)))</f>
        <v/>
      </c>
    </row>
    <row r="10" spans="1:18" ht="18" customHeight="1" x14ac:dyDescent="0.2">
      <c r="B10" s="2193" t="s">
        <v>919</v>
      </c>
      <c r="C10" s="2190"/>
      <c r="D10" s="2190"/>
      <c r="E10" s="2190"/>
      <c r="F10" s="2190"/>
      <c r="G10" s="2190"/>
      <c r="H10" s="2190"/>
      <c r="I10" s="2190"/>
      <c r="J10" s="2190"/>
      <c r="K10" s="2190"/>
      <c r="L10" s="2190"/>
      <c r="M10" s="2190"/>
      <c r="N10" s="2190"/>
      <c r="O10" s="1885">
        <f>COUNTA(C10:N10)</f>
        <v>0</v>
      </c>
      <c r="P10" s="2187" t="s">
        <v>860</v>
      </c>
    </row>
    <row r="11" spans="1:18" ht="18" customHeight="1" thickBot="1" x14ac:dyDescent="0.25">
      <c r="B11" s="2194" t="s">
        <v>884</v>
      </c>
      <c r="C11" s="2185">
        <f>IF(IF(C10&lt;&gt;0,($B$36*$B$38-(C9*0.85+C8*0.33))/0.2,0)&lt;0,"Erro",IF(C10&lt;&gt;0,($B$36*$B$38-(C9*0.85+C8*0.33))/0.2,0))</f>
        <v>0</v>
      </c>
      <c r="D11" s="2185">
        <f t="shared" ref="D11:N11" si="1">IF(IF(D10&lt;&gt;0,($B$36*$B$38-(D9*0.85+D8*0.33))/0.2,0)&lt;0,"Erro",IF(D10&lt;&gt;0,($B$36*$B$38-(D9*0.85+D8*0.33))/0.2,0))</f>
        <v>0</v>
      </c>
      <c r="E11" s="2185">
        <f t="shared" si="1"/>
        <v>0</v>
      </c>
      <c r="F11" s="2185">
        <f t="shared" si="1"/>
        <v>0</v>
      </c>
      <c r="G11" s="2185">
        <f t="shared" si="1"/>
        <v>0</v>
      </c>
      <c r="H11" s="2185">
        <f t="shared" si="1"/>
        <v>0</v>
      </c>
      <c r="I11" s="2185">
        <f t="shared" si="1"/>
        <v>0</v>
      </c>
      <c r="J11" s="2185">
        <f t="shared" si="1"/>
        <v>0</v>
      </c>
      <c r="K11" s="2185">
        <f t="shared" si="1"/>
        <v>0</v>
      </c>
      <c r="L11" s="2185">
        <f t="shared" si="1"/>
        <v>0</v>
      </c>
      <c r="M11" s="2185">
        <f t="shared" si="1"/>
        <v>0</v>
      </c>
      <c r="N11" s="2185">
        <f t="shared" si="1"/>
        <v>0</v>
      </c>
      <c r="O11" s="2185">
        <f>COUNT(C11:N11)</f>
        <v>12</v>
      </c>
      <c r="P11" s="2186" t="str">
        <f>IF(SUM(C11:N11)=0,"",(AVERAGE(C11:N11)))</f>
        <v/>
      </c>
    </row>
    <row r="12" spans="1:18" ht="18" hidden="1" customHeight="1" thickBot="1" x14ac:dyDescent="0.25">
      <c r="B12" s="2055" t="s">
        <v>946</v>
      </c>
      <c r="C12" s="1863">
        <f t="shared" ref="C12:P12" si="2">SUM(C8:C11)</f>
        <v>0</v>
      </c>
      <c r="D12" s="1802">
        <f t="shared" si="2"/>
        <v>0</v>
      </c>
      <c r="E12" s="1802">
        <f t="shared" si="2"/>
        <v>0</v>
      </c>
      <c r="F12" s="1802">
        <f t="shared" si="2"/>
        <v>0</v>
      </c>
      <c r="G12" s="1802">
        <f t="shared" si="2"/>
        <v>0</v>
      </c>
      <c r="H12" s="1802">
        <f t="shared" si="2"/>
        <v>0</v>
      </c>
      <c r="I12" s="1802">
        <f t="shared" si="2"/>
        <v>0</v>
      </c>
      <c r="J12" s="1802">
        <f t="shared" si="2"/>
        <v>0</v>
      </c>
      <c r="K12" s="1802">
        <f t="shared" si="2"/>
        <v>0</v>
      </c>
      <c r="L12" s="1802">
        <f t="shared" si="2"/>
        <v>0</v>
      </c>
      <c r="M12" s="1802">
        <f t="shared" si="2"/>
        <v>0</v>
      </c>
      <c r="N12" s="1802">
        <f t="shared" si="2"/>
        <v>0</v>
      </c>
      <c r="O12" s="1802">
        <f>SUM(O8:O11)</f>
        <v>12</v>
      </c>
      <c r="P12" s="1907">
        <f t="shared" si="2"/>
        <v>0</v>
      </c>
    </row>
    <row r="13" spans="1:18" ht="18" customHeight="1" x14ac:dyDescent="0.2">
      <c r="B13" s="2198" t="s">
        <v>975</v>
      </c>
      <c r="C13" s="2016"/>
      <c r="D13" s="2016"/>
      <c r="E13" s="2016"/>
      <c r="F13" s="2016"/>
      <c r="G13" s="2016"/>
      <c r="H13" s="2016"/>
      <c r="I13" s="2016"/>
      <c r="J13" s="2016"/>
      <c r="K13" s="2016"/>
      <c r="L13" s="2016"/>
      <c r="M13" s="2016"/>
      <c r="N13" s="2016"/>
      <c r="O13" s="2016"/>
      <c r="P13" s="2016"/>
    </row>
    <row r="14" spans="1:18" x14ac:dyDescent="0.2">
      <c r="B14" s="1886" t="s">
        <v>990</v>
      </c>
      <c r="C14" s="23"/>
      <c r="D14" s="23"/>
      <c r="E14" s="23"/>
      <c r="F14" s="23"/>
      <c r="G14" s="23"/>
      <c r="H14" s="23"/>
      <c r="I14" s="23"/>
      <c r="J14" s="23"/>
    </row>
    <row r="15" spans="1:18" ht="12.75" hidden="1" customHeight="1" x14ac:dyDescent="0.2">
      <c r="B15" s="23" t="s">
        <v>44</v>
      </c>
      <c r="C15" s="23" t="s">
        <v>37</v>
      </c>
      <c r="D15" s="23"/>
      <c r="E15" s="23"/>
      <c r="F15" s="23"/>
      <c r="G15" s="23"/>
      <c r="H15" s="23"/>
      <c r="I15" s="23"/>
      <c r="J15" s="23"/>
    </row>
    <row r="16" spans="1:18" ht="12.75" hidden="1" customHeight="1" x14ac:dyDescent="0.2">
      <c r="B16" s="23" t="s">
        <v>665</v>
      </c>
      <c r="C16" s="23"/>
      <c r="D16" s="23"/>
      <c r="E16" s="23"/>
      <c r="F16" s="23"/>
      <c r="G16" s="23"/>
      <c r="H16" s="23"/>
      <c r="I16" s="23"/>
      <c r="J16" s="23"/>
    </row>
    <row r="17" spans="2:10" ht="12.75" hidden="1" customHeight="1" x14ac:dyDescent="0.2">
      <c r="B17" s="23"/>
      <c r="C17" s="23"/>
      <c r="D17" s="23"/>
      <c r="E17" s="23"/>
      <c r="F17" s="23"/>
      <c r="G17" s="23"/>
      <c r="H17" s="23"/>
      <c r="I17" s="23"/>
      <c r="J17" s="23"/>
    </row>
    <row r="18" spans="2:10" ht="12.75" hidden="1" customHeight="1" x14ac:dyDescent="0.2">
      <c r="B18" s="23"/>
      <c r="C18" s="23"/>
      <c r="D18" s="23"/>
      <c r="E18" s="23"/>
      <c r="F18" s="23"/>
      <c r="G18" s="23"/>
      <c r="H18" s="23"/>
      <c r="I18" s="23"/>
      <c r="J18" s="23"/>
    </row>
    <row r="19" spans="2:10" ht="12.75" hidden="1" customHeight="1" x14ac:dyDescent="0.2">
      <c r="B19" s="23" t="s">
        <v>46</v>
      </c>
      <c r="C19" s="23">
        <f>SUM(C16:C18)</f>
        <v>0</v>
      </c>
      <c r="D19" s="23"/>
      <c r="E19" s="23"/>
      <c r="F19" s="23"/>
      <c r="G19" s="23"/>
      <c r="H19" s="23"/>
      <c r="I19" s="23"/>
      <c r="J19" s="23"/>
    </row>
    <row r="20" spans="2:10" ht="12.75" hidden="1" customHeight="1" x14ac:dyDescent="0.2">
      <c r="B20" s="23"/>
      <c r="C20" s="23"/>
      <c r="D20" s="23"/>
      <c r="E20" s="23"/>
      <c r="F20" s="23"/>
      <c r="G20" s="23"/>
      <c r="H20" s="23"/>
      <c r="I20" s="23"/>
      <c r="J20" s="23"/>
    </row>
    <row r="21" spans="2:10" ht="12.75" hidden="1" customHeight="1" x14ac:dyDescent="0.2">
      <c r="B21" s="23"/>
      <c r="C21" s="23"/>
      <c r="D21" s="23"/>
      <c r="E21" s="23"/>
      <c r="F21" s="23"/>
      <c r="G21" s="23"/>
      <c r="H21" s="23"/>
      <c r="I21" s="23"/>
      <c r="J21" s="23"/>
    </row>
    <row r="22" spans="2:10" ht="12.75" hidden="1" customHeight="1" x14ac:dyDescent="0.2">
      <c r="B22" s="23"/>
      <c r="C22" s="23"/>
      <c r="D22" s="23"/>
      <c r="E22" s="23"/>
      <c r="F22" s="23"/>
      <c r="G22" s="23"/>
      <c r="H22" s="23"/>
      <c r="I22" s="23"/>
      <c r="J22" s="23"/>
    </row>
    <row r="23" spans="2:10" ht="12.75" hidden="1" customHeight="1" x14ac:dyDescent="0.2">
      <c r="B23" s="23"/>
      <c r="C23" s="23"/>
      <c r="D23" s="23"/>
      <c r="E23" s="23"/>
      <c r="F23" s="23"/>
      <c r="G23" s="23"/>
      <c r="H23" s="23"/>
      <c r="I23" s="23"/>
      <c r="J23" s="23"/>
    </row>
    <row r="24" spans="2:10" ht="12.75" hidden="1" customHeight="1" x14ac:dyDescent="0.2">
      <c r="B24" s="23"/>
      <c r="C24" s="23"/>
      <c r="D24" s="23"/>
      <c r="E24" s="23"/>
      <c r="F24" s="23"/>
      <c r="G24" s="23"/>
      <c r="H24" s="23"/>
      <c r="I24" s="23"/>
      <c r="J24" s="23"/>
    </row>
    <row r="25" spans="2:10" ht="12.75" hidden="1" customHeight="1" x14ac:dyDescent="0.2">
      <c r="B25" s="23"/>
      <c r="C25" s="23"/>
      <c r="D25" s="23"/>
      <c r="E25" s="23"/>
      <c r="F25" s="23"/>
      <c r="G25" s="23"/>
      <c r="H25" s="23"/>
      <c r="I25" s="23"/>
      <c r="J25" s="23"/>
    </row>
    <row r="26" spans="2:10" ht="13.5" hidden="1" customHeight="1" thickBot="1" x14ac:dyDescent="0.25">
      <c r="B26" s="23"/>
      <c r="C26" s="23" t="s">
        <v>47</v>
      </c>
      <c r="D26" s="23"/>
      <c r="E26" s="23"/>
      <c r="F26" s="23"/>
      <c r="G26" s="23"/>
      <c r="H26" s="23"/>
      <c r="I26" s="23"/>
      <c r="J26" s="23"/>
    </row>
    <row r="27" spans="2:10" ht="13.5" hidden="1" customHeight="1" thickBot="1" x14ac:dyDescent="0.25">
      <c r="B27" s="23"/>
      <c r="C27" s="23" t="s">
        <v>48</v>
      </c>
      <c r="D27" s="23"/>
      <c r="E27" s="23"/>
      <c r="F27" s="23"/>
      <c r="G27" s="23"/>
      <c r="H27" s="23"/>
      <c r="I27" s="23"/>
      <c r="J27" s="23"/>
    </row>
    <row r="28" spans="2:10" ht="12.75" hidden="1" customHeight="1" x14ac:dyDescent="0.2">
      <c r="B28" s="23" t="s">
        <v>51</v>
      </c>
      <c r="C28" s="23" t="str">
        <f>IF(SOLO!I$70=0,"",#REF!/SOLO!I$70)</f>
        <v/>
      </c>
      <c r="D28" s="23"/>
      <c r="E28" s="23"/>
      <c r="F28" s="23"/>
      <c r="G28" s="23"/>
      <c r="H28" s="23"/>
      <c r="I28" s="23"/>
      <c r="J28" s="23"/>
    </row>
    <row r="29" spans="2:10" ht="12.75" hidden="1" customHeight="1" x14ac:dyDescent="0.2">
      <c r="B29" s="23" t="s">
        <v>52</v>
      </c>
      <c r="C29" s="23" t="str">
        <f>IF(SOLO!I$70=0,"",#REF!/SOLO!I$70)</f>
        <v/>
      </c>
      <c r="D29" s="23"/>
      <c r="E29" s="23"/>
      <c r="F29" s="23"/>
      <c r="G29" s="23"/>
      <c r="H29" s="23"/>
      <c r="I29" s="23"/>
      <c r="J29" s="23"/>
    </row>
    <row r="30" spans="2:10" ht="12.75" hidden="1" customHeight="1" x14ac:dyDescent="0.2">
      <c r="B30" s="23" t="s">
        <v>53</v>
      </c>
      <c r="C30" s="23" t="str">
        <f>IF(SOLO!I$70=0,"",#REF!/SOLO!I$70)</f>
        <v/>
      </c>
      <c r="D30" s="23"/>
      <c r="E30" s="23"/>
      <c r="F30" s="23"/>
      <c r="G30" s="23"/>
      <c r="H30" s="23"/>
      <c r="I30" s="23"/>
      <c r="J30" s="23"/>
    </row>
    <row r="31" spans="2:10" ht="12.75" hidden="1" customHeight="1" x14ac:dyDescent="0.2">
      <c r="B31" s="23" t="s">
        <v>54</v>
      </c>
      <c r="C31" s="23" t="str">
        <f>IF(SOLO!I$70=0,"",#REF!/SOLO!I$70)</f>
        <v/>
      </c>
      <c r="D31" s="23"/>
      <c r="E31" s="23"/>
      <c r="F31" s="23"/>
      <c r="G31" s="23"/>
      <c r="H31" s="23"/>
      <c r="I31" s="23"/>
      <c r="J31" s="23"/>
    </row>
    <row r="32" spans="2:10" ht="13.5" hidden="1" customHeight="1" thickBot="1" x14ac:dyDescent="0.25">
      <c r="B32" s="23" t="s">
        <v>55</v>
      </c>
      <c r="C32" s="23" t="str">
        <f>IF(SOLO!I$70=0,"",#REF!/SOLO!I$70)</f>
        <v/>
      </c>
      <c r="D32" s="23"/>
      <c r="E32" s="23"/>
      <c r="F32" s="23"/>
      <c r="G32" s="23"/>
      <c r="H32" s="23"/>
      <c r="I32" s="23"/>
      <c r="J32" s="23"/>
    </row>
    <row r="33" spans="1:16" ht="13.5" customHeight="1" thickBot="1" x14ac:dyDescent="0.25">
      <c r="B33" s="23"/>
      <c r="C33" s="23"/>
      <c r="D33" s="23"/>
      <c r="E33" s="23"/>
      <c r="F33" s="23"/>
      <c r="G33" s="23"/>
      <c r="H33" s="23"/>
      <c r="I33" s="23"/>
      <c r="J33" s="23"/>
    </row>
    <row r="34" spans="1:16" ht="17.25" customHeight="1" thickBot="1" x14ac:dyDescent="0.25">
      <c r="B34" s="2196" t="s">
        <v>988</v>
      </c>
      <c r="C34" s="23"/>
      <c r="D34" s="23"/>
      <c r="E34" s="23"/>
      <c r="F34" s="23"/>
      <c r="G34" s="23"/>
      <c r="H34" s="23"/>
      <c r="I34" s="23"/>
      <c r="J34" s="23"/>
    </row>
    <row r="35" spans="1:16" ht="13.5" customHeight="1" x14ac:dyDescent="0.2">
      <c r="B35" s="2195" t="s">
        <v>989</v>
      </c>
      <c r="C35" s="23"/>
      <c r="D35" s="23"/>
      <c r="E35" s="23"/>
      <c r="F35" s="23"/>
      <c r="G35" s="23"/>
      <c r="H35" s="23"/>
      <c r="I35" s="23"/>
      <c r="J35" s="23"/>
      <c r="K35" s="23"/>
      <c r="L35" s="23"/>
      <c r="M35" s="23"/>
      <c r="N35" s="23"/>
      <c r="O35" s="23"/>
      <c r="P35" s="25"/>
    </row>
    <row r="36" spans="1:16" ht="13.5" customHeight="1" thickBot="1" x14ac:dyDescent="0.25">
      <c r="B36" s="2207">
        <v>450</v>
      </c>
      <c r="C36" s="23"/>
      <c r="D36" s="23"/>
      <c r="E36" s="23"/>
      <c r="F36" s="23"/>
      <c r="G36" s="23"/>
      <c r="H36" s="23"/>
      <c r="I36" s="23"/>
      <c r="J36" s="23"/>
      <c r="K36" s="23"/>
      <c r="L36" s="23"/>
      <c r="M36" s="23"/>
      <c r="N36" s="23"/>
      <c r="O36" s="23"/>
      <c r="P36" s="25"/>
    </row>
    <row r="37" spans="1:16" ht="13.5" customHeight="1" x14ac:dyDescent="0.2">
      <c r="B37" s="2195" t="s">
        <v>961</v>
      </c>
      <c r="C37" s="23"/>
      <c r="D37" s="23"/>
      <c r="E37" s="23"/>
      <c r="F37" s="23"/>
      <c r="G37" s="23"/>
      <c r="H37" s="23"/>
      <c r="I37" s="23"/>
      <c r="J37" s="23"/>
      <c r="K37" s="23"/>
      <c r="L37" s="23"/>
      <c r="M37" s="23"/>
      <c r="N37" s="23"/>
      <c r="O37" s="23"/>
      <c r="P37" s="1864"/>
    </row>
    <row r="38" spans="1:16" ht="13.5" customHeight="1" thickBot="1" x14ac:dyDescent="0.25">
      <c r="B38" s="2208">
        <v>0.04</v>
      </c>
      <c r="C38" s="23"/>
      <c r="D38" s="23"/>
      <c r="E38" s="23"/>
      <c r="F38" s="23"/>
      <c r="G38" s="23"/>
      <c r="H38" s="23"/>
      <c r="I38" s="23"/>
      <c r="J38" s="23"/>
      <c r="K38" s="23"/>
      <c r="L38" s="23"/>
      <c r="M38" s="23"/>
      <c r="N38" s="23"/>
    </row>
    <row r="39" spans="1:16" ht="13.5" customHeight="1" x14ac:dyDescent="0.2">
      <c r="B39" s="2197" t="s">
        <v>962</v>
      </c>
      <c r="C39" s="23"/>
      <c r="D39" s="23"/>
      <c r="E39" s="23"/>
      <c r="F39" s="23"/>
      <c r="G39" s="23"/>
      <c r="H39" s="23"/>
      <c r="I39" s="23"/>
      <c r="J39" s="23"/>
      <c r="K39" s="23"/>
      <c r="L39" s="23"/>
      <c r="M39" s="23"/>
      <c r="N39" s="23"/>
    </row>
    <row r="40" spans="1:16" ht="13.5" customHeight="1" x14ac:dyDescent="0.2">
      <c r="B40" s="23"/>
      <c r="C40" s="23"/>
      <c r="D40" s="23"/>
      <c r="E40" s="23"/>
      <c r="F40" s="23"/>
      <c r="G40" s="23"/>
      <c r="H40" s="23"/>
      <c r="I40" s="23"/>
      <c r="J40" s="23"/>
      <c r="K40" s="23"/>
      <c r="L40" s="23"/>
      <c r="M40" s="23"/>
      <c r="N40" s="23"/>
    </row>
    <row r="41" spans="1:16" ht="13.5" customHeight="1" x14ac:dyDescent="0.2">
      <c r="C41" s="23"/>
      <c r="D41" s="23"/>
      <c r="E41" s="23"/>
      <c r="F41" s="23"/>
      <c r="G41" s="23"/>
      <c r="H41" s="23"/>
      <c r="I41" s="23"/>
      <c r="J41" s="23"/>
      <c r="K41" s="23"/>
      <c r="L41" s="23"/>
      <c r="M41" s="23"/>
      <c r="N41" s="23"/>
      <c r="O41" s="23"/>
      <c r="P41" s="25"/>
    </row>
    <row r="42" spans="1:16" ht="13.5" customHeight="1" x14ac:dyDescent="0.2">
      <c r="A42" s="2047" t="s">
        <v>810</v>
      </c>
      <c r="B42" s="2048">
        <f>P8*0.3</f>
        <v>0</v>
      </c>
      <c r="C42" s="23"/>
      <c r="D42" s="23"/>
      <c r="E42" s="23"/>
      <c r="F42" s="23"/>
      <c r="G42" s="23"/>
      <c r="H42" s="23"/>
      <c r="I42" s="23"/>
      <c r="J42" s="23"/>
      <c r="K42" s="23"/>
      <c r="L42" s="23"/>
      <c r="M42" s="23"/>
      <c r="N42" s="23"/>
      <c r="O42" s="23"/>
      <c r="P42" s="25"/>
    </row>
    <row r="43" spans="1:16" ht="13.5" customHeight="1" x14ac:dyDescent="0.2">
      <c r="A43" s="2047" t="s">
        <v>811</v>
      </c>
      <c r="B43" s="2048" t="e">
        <f>P9*0.85</f>
        <v>#VALUE!</v>
      </c>
      <c r="C43" s="23"/>
      <c r="D43" s="23"/>
      <c r="E43" s="23"/>
      <c r="F43" s="23"/>
      <c r="G43" s="23"/>
      <c r="H43" s="23"/>
      <c r="I43" s="23"/>
      <c r="J43" s="23"/>
      <c r="K43" s="23"/>
      <c r="L43" s="23"/>
      <c r="M43" s="23"/>
      <c r="N43" s="23"/>
      <c r="O43" s="23"/>
    </row>
    <row r="44" spans="1:16" ht="13.5" customHeight="1" x14ac:dyDescent="0.2">
      <c r="A44" s="2047" t="s">
        <v>938</v>
      </c>
      <c r="B44" s="2048" t="e">
        <f>P11*0.3</f>
        <v>#VALUE!</v>
      </c>
      <c r="C44" s="23"/>
      <c r="D44" s="23"/>
      <c r="E44" s="23"/>
      <c r="F44" s="23"/>
      <c r="G44" s="23"/>
      <c r="H44" s="23"/>
      <c r="I44" s="23"/>
      <c r="J44" s="23"/>
      <c r="K44" s="23"/>
      <c r="L44" s="23"/>
      <c r="M44" s="23"/>
      <c r="N44" s="23"/>
      <c r="O44" s="23"/>
    </row>
    <row r="45" spans="1:16" ht="13.5" customHeight="1" x14ac:dyDescent="0.2">
      <c r="B45" s="23"/>
      <c r="C45" s="23"/>
      <c r="D45" s="23"/>
      <c r="E45" s="23"/>
      <c r="F45" s="23"/>
      <c r="G45" s="23"/>
      <c r="H45" s="23"/>
      <c r="I45" s="23"/>
      <c r="J45" s="23"/>
      <c r="K45" s="23"/>
      <c r="L45" s="23"/>
      <c r="M45" s="23"/>
      <c r="N45" s="23"/>
      <c r="O45" s="23"/>
    </row>
    <row r="46" spans="1:16" ht="13.5" customHeight="1" x14ac:dyDescent="0.2">
      <c r="B46" s="23"/>
      <c r="C46" s="23"/>
      <c r="D46" s="23"/>
      <c r="E46" s="23"/>
      <c r="F46" s="23"/>
      <c r="G46" s="23"/>
      <c r="H46" s="23"/>
      <c r="I46" s="23"/>
      <c r="J46" s="23"/>
      <c r="K46" s="23"/>
      <c r="L46" s="23"/>
      <c r="M46" s="23"/>
      <c r="N46" s="23"/>
      <c r="O46" s="23"/>
      <c r="P46" s="25"/>
    </row>
    <row r="47" spans="1:16" ht="13.5" customHeight="1" x14ac:dyDescent="0.2">
      <c r="B47" s="23"/>
      <c r="C47" s="23"/>
      <c r="D47" s="23"/>
      <c r="E47" s="23"/>
      <c r="F47" s="23"/>
      <c r="G47" s="23"/>
      <c r="H47" s="23"/>
      <c r="I47" s="23"/>
      <c r="J47" s="23"/>
      <c r="K47" s="23"/>
      <c r="L47" s="23"/>
      <c r="M47" s="23"/>
      <c r="N47" s="23"/>
      <c r="O47" s="23"/>
      <c r="P47" s="25"/>
    </row>
    <row r="48" spans="1:16" ht="13.5" customHeight="1" thickBot="1" x14ac:dyDescent="0.25">
      <c r="B48" s="23"/>
      <c r="C48" s="23"/>
      <c r="D48" s="23"/>
      <c r="E48" s="23"/>
      <c r="F48" s="23"/>
      <c r="G48" s="23"/>
      <c r="H48" s="23"/>
      <c r="I48" s="23"/>
      <c r="J48" s="23"/>
      <c r="K48" s="23"/>
      <c r="L48" s="23"/>
      <c r="M48" s="23"/>
      <c r="N48" s="23"/>
      <c r="O48" s="23"/>
      <c r="P48" s="25"/>
    </row>
    <row r="49" spans="1:16" ht="13.5" customHeight="1" x14ac:dyDescent="0.2">
      <c r="B49" s="2809" t="s">
        <v>991</v>
      </c>
      <c r="C49" s="23"/>
      <c r="D49" s="23"/>
      <c r="E49" s="23"/>
      <c r="F49" s="23"/>
      <c r="G49" s="23"/>
      <c r="H49" s="23"/>
      <c r="I49" s="23"/>
      <c r="J49" s="23"/>
      <c r="K49" s="23"/>
      <c r="L49" s="23"/>
      <c r="M49" s="23"/>
      <c r="N49" s="23"/>
      <c r="O49" s="23"/>
      <c r="P49" s="25"/>
    </row>
    <row r="50" spans="1:16" ht="13.5" customHeight="1" x14ac:dyDescent="0.2">
      <c r="B50" s="2810"/>
      <c r="C50" s="23"/>
      <c r="D50" s="23"/>
      <c r="E50" s="23"/>
      <c r="F50" s="23"/>
      <c r="G50" s="23"/>
      <c r="H50" s="23"/>
      <c r="I50" s="23"/>
      <c r="J50" s="23"/>
      <c r="K50" s="23"/>
      <c r="L50" s="23"/>
      <c r="M50" s="23"/>
      <c r="N50" s="23"/>
      <c r="O50" s="23"/>
      <c r="P50" s="25"/>
    </row>
    <row r="51" spans="1:16" ht="19.5" customHeight="1" thickBot="1" x14ac:dyDescent="0.25">
      <c r="B51" s="2199" t="str">
        <f>IF(SUM(C11:N11)=0,"100%",IF(SUM(C8:N9)=0,"0%",(P8*O8*0.3+P9*O9*0.85)/(P8*O8*0.3+P9*O9*0.85+P11*O11*0.3)))</f>
        <v>100%</v>
      </c>
      <c r="C51" s="23"/>
      <c r="D51" s="23"/>
      <c r="E51" s="23"/>
      <c r="F51" s="23"/>
      <c r="G51" s="23"/>
      <c r="H51" s="23"/>
      <c r="I51" s="23"/>
      <c r="J51" s="23"/>
      <c r="K51" s="23"/>
      <c r="L51" s="23"/>
      <c r="M51" s="23"/>
      <c r="N51" s="23"/>
      <c r="O51" s="23"/>
      <c r="P51" s="25"/>
    </row>
    <row r="52" spans="1:16" ht="13.5" customHeight="1" x14ac:dyDescent="0.2">
      <c r="B52" s="2200"/>
      <c r="C52" s="23"/>
      <c r="D52" s="23"/>
      <c r="E52" s="23"/>
      <c r="F52" s="23"/>
      <c r="G52" s="23"/>
      <c r="H52" s="23"/>
      <c r="I52" s="23"/>
      <c r="J52" s="23"/>
      <c r="K52" s="23"/>
      <c r="L52" s="23"/>
      <c r="M52" s="23"/>
      <c r="N52" s="23"/>
      <c r="O52" s="23"/>
      <c r="P52" s="25"/>
    </row>
    <row r="53" spans="1:16" ht="27.75" customHeight="1" x14ac:dyDescent="0.2">
      <c r="A53" s="2202"/>
      <c r="B53" s="2201" t="s">
        <v>992</v>
      </c>
      <c r="C53" s="23"/>
      <c r="D53" s="23"/>
      <c r="E53" s="23"/>
      <c r="F53" s="23"/>
      <c r="G53" s="23"/>
      <c r="H53" s="23"/>
      <c r="I53" s="23"/>
      <c r="J53" s="23"/>
      <c r="K53" s="23"/>
      <c r="L53" s="23"/>
      <c r="M53" s="23"/>
      <c r="N53" s="23"/>
      <c r="O53" s="23"/>
      <c r="P53" s="25"/>
    </row>
    <row r="54" spans="1:16" ht="13.5" customHeight="1" x14ac:dyDescent="0.2">
      <c r="A54" s="2202"/>
      <c r="B54" s="2205"/>
      <c r="C54" s="23"/>
      <c r="D54" s="23"/>
      <c r="E54" s="23"/>
      <c r="F54" s="23"/>
      <c r="G54" s="23"/>
      <c r="H54" s="23"/>
      <c r="I54" s="23"/>
      <c r="J54" s="23"/>
      <c r="K54" s="23"/>
      <c r="L54" s="23"/>
      <c r="M54" s="23"/>
      <c r="N54" s="23"/>
      <c r="O54" s="23"/>
      <c r="P54" s="25"/>
    </row>
    <row r="55" spans="1:16" ht="34.5" customHeight="1" x14ac:dyDescent="0.2">
      <c r="A55" s="2202"/>
      <c r="B55" s="2204" t="s">
        <v>993</v>
      </c>
      <c r="C55" s="23"/>
      <c r="D55" s="23"/>
      <c r="E55" s="23"/>
      <c r="F55" s="23"/>
      <c r="G55" s="23"/>
      <c r="H55" s="23"/>
      <c r="I55" s="23"/>
      <c r="J55" s="23"/>
      <c r="K55" s="23"/>
      <c r="L55" s="23"/>
      <c r="M55" s="23"/>
      <c r="N55" s="23"/>
      <c r="O55" s="23"/>
      <c r="P55" s="25"/>
    </row>
    <row r="56" spans="1:16" ht="13.5" customHeight="1" x14ac:dyDescent="0.2">
      <c r="A56" s="2202"/>
      <c r="B56" s="2206" t="str">
        <f>IF(B54=0,"",ROUND(IF(B54=0,"",B54/(AVERAGE(RESULTADOS!G8:H8)*P8*30)),0)&amp;" meses")</f>
        <v/>
      </c>
      <c r="C56" s="23"/>
      <c r="D56" s="23"/>
      <c r="E56" s="23"/>
      <c r="F56" s="23"/>
      <c r="G56" s="23"/>
      <c r="H56" s="23"/>
      <c r="I56" s="23"/>
      <c r="J56" s="23"/>
      <c r="K56" s="23"/>
      <c r="L56" s="23"/>
      <c r="M56" s="23"/>
      <c r="N56" s="23"/>
      <c r="O56" s="23"/>
      <c r="P56" s="25"/>
    </row>
    <row r="57" spans="1:16" ht="13.5" thickBot="1" x14ac:dyDescent="0.25">
      <c r="B57" s="2203"/>
      <c r="C57" s="23"/>
      <c r="D57" s="23"/>
      <c r="E57" s="23"/>
      <c r="F57" s="23"/>
      <c r="G57" s="23"/>
      <c r="H57" s="23"/>
      <c r="I57" s="23"/>
      <c r="J57" s="23"/>
      <c r="K57" s="23"/>
      <c r="L57" s="23"/>
      <c r="M57" s="23"/>
      <c r="N57" s="23"/>
      <c r="O57" s="23"/>
      <c r="P57" s="25"/>
    </row>
    <row r="58" spans="1:16" ht="13.5" hidden="1" customHeight="1" x14ac:dyDescent="0.2">
      <c r="B58" s="28"/>
      <c r="C58" s="23"/>
      <c r="D58" s="2075"/>
      <c r="E58" s="23"/>
      <c r="F58" s="23"/>
      <c r="G58" s="23"/>
      <c r="H58" s="23"/>
      <c r="I58" s="23"/>
      <c r="J58" s="23"/>
      <c r="K58" s="23"/>
      <c r="L58" s="23"/>
      <c r="M58" s="23"/>
      <c r="N58" s="23"/>
      <c r="O58" s="23"/>
      <c r="P58" s="25"/>
    </row>
    <row r="59" spans="1:16" hidden="1" x14ac:dyDescent="0.2">
      <c r="B59" s="28"/>
      <c r="C59" s="23"/>
      <c r="E59" s="23"/>
      <c r="F59" s="23"/>
      <c r="G59" s="23"/>
      <c r="H59" s="23"/>
      <c r="I59" s="23"/>
      <c r="J59" s="23"/>
      <c r="K59" s="23"/>
      <c r="L59" s="23"/>
      <c r="M59" s="23"/>
      <c r="N59" s="23"/>
      <c r="O59" s="23"/>
      <c r="P59" s="25"/>
    </row>
    <row r="60" spans="1:16" ht="13.5" hidden="1" customHeight="1" x14ac:dyDescent="0.2">
      <c r="B60" s="28"/>
      <c r="C60" s="23"/>
      <c r="D60" s="2076"/>
      <c r="E60" s="23"/>
      <c r="F60" s="23"/>
      <c r="G60" s="23"/>
      <c r="H60" s="23"/>
      <c r="I60" s="23"/>
      <c r="J60" s="23"/>
      <c r="K60" s="23"/>
      <c r="L60" s="23"/>
      <c r="M60" s="23"/>
      <c r="N60" s="23"/>
      <c r="O60" s="23"/>
      <c r="P60" s="25"/>
    </row>
    <row r="61" spans="1:16" ht="13.5" hidden="1" customHeight="1" x14ac:dyDescent="0.2">
      <c r="B61" s="1800"/>
      <c r="C61" s="23"/>
      <c r="D61" s="23"/>
      <c r="E61" s="23"/>
      <c r="F61" s="23"/>
      <c r="G61" s="23"/>
      <c r="H61" s="23"/>
      <c r="I61" s="23"/>
      <c r="J61" s="23"/>
      <c r="K61" s="23"/>
      <c r="L61" s="23"/>
      <c r="M61" s="23"/>
      <c r="N61" s="23"/>
      <c r="O61" s="23"/>
      <c r="P61" s="25"/>
    </row>
    <row r="62" spans="1:16" ht="13.5" hidden="1" customHeight="1" x14ac:dyDescent="0.2">
      <c r="B62" s="1800"/>
      <c r="C62" s="23"/>
      <c r="D62" s="23"/>
      <c r="E62" s="23"/>
      <c r="F62" s="23"/>
      <c r="G62" s="23"/>
      <c r="H62" s="23"/>
      <c r="I62" s="23"/>
      <c r="J62" s="23"/>
      <c r="K62" s="23"/>
      <c r="L62" s="23"/>
      <c r="M62" s="23"/>
      <c r="N62" s="23"/>
      <c r="O62" s="23"/>
      <c r="P62" s="25"/>
    </row>
    <row r="63" spans="1:16" ht="13.5" hidden="1" customHeight="1" x14ac:dyDescent="0.2">
      <c r="B63" s="1800"/>
      <c r="C63" s="23"/>
      <c r="D63" s="23"/>
      <c r="E63" s="23"/>
      <c r="F63" s="23"/>
      <c r="G63" s="23"/>
      <c r="H63" s="23"/>
      <c r="I63" s="23"/>
      <c r="J63" s="23"/>
      <c r="K63" s="23"/>
      <c r="L63" s="23"/>
      <c r="M63" s="23"/>
      <c r="N63" s="23"/>
      <c r="O63" s="23"/>
      <c r="P63" s="25"/>
    </row>
    <row r="64" spans="1:16" ht="13.5" hidden="1" customHeight="1" x14ac:dyDescent="0.2">
      <c r="B64" s="1800"/>
      <c r="C64" s="23"/>
      <c r="D64" s="23"/>
      <c r="E64" s="23"/>
      <c r="F64" s="23"/>
      <c r="G64" s="23"/>
      <c r="H64" s="23"/>
      <c r="I64" s="23"/>
      <c r="J64" s="23"/>
      <c r="K64" s="23"/>
      <c r="L64" s="23"/>
      <c r="M64" s="23"/>
      <c r="N64" s="23"/>
      <c r="O64" s="23"/>
      <c r="P64" s="25"/>
    </row>
    <row r="65" spans="2:16" ht="13.5" hidden="1" customHeight="1" thickBot="1" x14ac:dyDescent="0.25">
      <c r="B65" s="23"/>
      <c r="C65" s="23"/>
      <c r="D65" s="23"/>
      <c r="E65" s="23"/>
      <c r="F65" s="23"/>
      <c r="G65" s="23"/>
      <c r="H65" s="23"/>
      <c r="I65" s="23"/>
      <c r="J65" s="23"/>
      <c r="K65" s="23"/>
      <c r="L65" s="23"/>
      <c r="M65" s="23"/>
      <c r="N65" s="23"/>
      <c r="O65" s="23"/>
      <c r="P65" s="25"/>
    </row>
    <row r="66" spans="2:16" ht="16.5" customHeight="1" thickBot="1" x14ac:dyDescent="0.25">
      <c r="B66" s="2723" t="s">
        <v>1048</v>
      </c>
      <c r="C66" s="2730"/>
      <c r="D66" s="2730"/>
      <c r="E66" s="2730"/>
      <c r="F66" s="2730"/>
      <c r="G66" s="2730"/>
      <c r="H66" s="2730"/>
      <c r="I66" s="2730"/>
      <c r="J66" s="2730"/>
      <c r="K66" s="2730"/>
      <c r="L66" s="2730"/>
      <c r="M66" s="2730"/>
      <c r="N66" s="2730"/>
      <c r="O66" s="2730"/>
      <c r="P66" s="2724"/>
    </row>
    <row r="67" spans="2:16" x14ac:dyDescent="0.2">
      <c r="B67" s="2793"/>
      <c r="C67" s="2794"/>
      <c r="D67" s="2794"/>
      <c r="E67" s="2794"/>
      <c r="F67" s="2794"/>
      <c r="G67" s="2794"/>
      <c r="H67" s="2794"/>
      <c r="I67" s="2794"/>
      <c r="J67" s="2794"/>
      <c r="K67" s="2794"/>
      <c r="L67" s="2794"/>
      <c r="M67" s="2794"/>
      <c r="N67" s="2794"/>
      <c r="O67" s="2794"/>
      <c r="P67" s="2795"/>
    </row>
    <row r="68" spans="2:16" x14ac:dyDescent="0.2">
      <c r="B68" s="2793"/>
      <c r="C68" s="2794"/>
      <c r="D68" s="2794"/>
      <c r="E68" s="2794"/>
      <c r="F68" s="2794"/>
      <c r="G68" s="2794"/>
      <c r="H68" s="2794"/>
      <c r="I68" s="2794"/>
      <c r="J68" s="2794"/>
      <c r="K68" s="2794"/>
      <c r="L68" s="2794"/>
      <c r="M68" s="2794"/>
      <c r="N68" s="2794"/>
      <c r="O68" s="2794"/>
      <c r="P68" s="2795"/>
    </row>
    <row r="69" spans="2:16" x14ac:dyDescent="0.2">
      <c r="B69" s="2793"/>
      <c r="C69" s="2794"/>
      <c r="D69" s="2794"/>
      <c r="E69" s="2794"/>
      <c r="F69" s="2794"/>
      <c r="G69" s="2794"/>
      <c r="H69" s="2794"/>
      <c r="I69" s="2794"/>
      <c r="J69" s="2794"/>
      <c r="K69" s="2794"/>
      <c r="L69" s="2794"/>
      <c r="M69" s="2794"/>
      <c r="N69" s="2794"/>
      <c r="O69" s="2794"/>
      <c r="P69" s="2795"/>
    </row>
    <row r="70" spans="2:16" x14ac:dyDescent="0.2">
      <c r="B70" s="2793"/>
      <c r="C70" s="2794"/>
      <c r="D70" s="2794"/>
      <c r="E70" s="2794"/>
      <c r="F70" s="2794"/>
      <c r="G70" s="2794"/>
      <c r="H70" s="2794"/>
      <c r="I70" s="2794"/>
      <c r="J70" s="2794"/>
      <c r="K70" s="2794"/>
      <c r="L70" s="2794"/>
      <c r="M70" s="2794"/>
      <c r="N70" s="2794"/>
      <c r="O70" s="2794"/>
      <c r="P70" s="2795"/>
    </row>
    <row r="71" spans="2:16" x14ac:dyDescent="0.2">
      <c r="B71" s="2793"/>
      <c r="C71" s="2794"/>
      <c r="D71" s="2794"/>
      <c r="E71" s="2794"/>
      <c r="F71" s="2794"/>
      <c r="G71" s="2794"/>
      <c r="H71" s="2794"/>
      <c r="I71" s="2794"/>
      <c r="J71" s="2794"/>
      <c r="K71" s="2794"/>
      <c r="L71" s="2794"/>
      <c r="M71" s="2794"/>
      <c r="N71" s="2794"/>
      <c r="O71" s="2794"/>
      <c r="P71" s="2795"/>
    </row>
    <row r="72" spans="2:16" ht="13.5" thickBot="1" x14ac:dyDescent="0.25">
      <c r="B72" s="2796"/>
      <c r="C72" s="2797"/>
      <c r="D72" s="2797"/>
      <c r="E72" s="2797"/>
      <c r="F72" s="2797"/>
      <c r="G72" s="2797"/>
      <c r="H72" s="2797"/>
      <c r="I72" s="2797"/>
      <c r="J72" s="2797"/>
      <c r="K72" s="2797"/>
      <c r="L72" s="2797"/>
      <c r="M72" s="2797"/>
      <c r="N72" s="2797"/>
      <c r="O72" s="2797"/>
      <c r="P72" s="2798"/>
    </row>
    <row r="73" spans="2:16" x14ac:dyDescent="0.2">
      <c r="B73" s="23"/>
      <c r="C73" s="23"/>
      <c r="D73" s="23"/>
      <c r="E73" s="23"/>
      <c r="F73" s="23"/>
      <c r="G73" s="23"/>
      <c r="H73" s="23"/>
      <c r="I73" s="23"/>
      <c r="J73" s="23"/>
      <c r="K73" s="23"/>
      <c r="L73" s="23"/>
      <c r="M73" s="23"/>
      <c r="N73" s="23"/>
      <c r="O73" s="23"/>
      <c r="P73" s="23"/>
    </row>
    <row r="74" spans="2:16" ht="12.75" customHeight="1" x14ac:dyDescent="0.2">
      <c r="B74" s="28"/>
      <c r="C74" s="2073"/>
      <c r="D74" s="2073"/>
      <c r="E74" s="2073"/>
      <c r="F74" s="2073"/>
      <c r="G74" s="2073"/>
      <c r="H74" s="23"/>
      <c r="I74" s="23"/>
      <c r="J74" s="23"/>
      <c r="K74" s="23"/>
      <c r="L74" s="23"/>
      <c r="M74" s="23"/>
      <c r="N74" s="23"/>
      <c r="O74" s="23"/>
      <c r="P74" s="23"/>
    </row>
    <row r="75" spans="2:16" x14ac:dyDescent="0.2">
      <c r="B75" s="28"/>
      <c r="C75" s="2073"/>
      <c r="D75" s="2073"/>
      <c r="E75" s="2073"/>
      <c r="F75" s="2073"/>
      <c r="G75" s="2073"/>
      <c r="H75" s="23"/>
      <c r="I75" s="23"/>
      <c r="J75" s="23"/>
      <c r="K75" s="23"/>
      <c r="L75" s="23"/>
      <c r="M75" s="23"/>
      <c r="N75" s="23"/>
      <c r="O75" s="23"/>
      <c r="P75" s="23"/>
    </row>
    <row r="76" spans="2:16" x14ac:dyDescent="0.2">
      <c r="B76" s="2073"/>
      <c r="C76" s="2073"/>
      <c r="D76" s="2073"/>
      <c r="E76" s="2073"/>
      <c r="F76" s="2073"/>
      <c r="G76" s="2073"/>
    </row>
    <row r="77" spans="2:16" x14ac:dyDescent="0.2">
      <c r="B77" s="2073"/>
      <c r="C77" s="2073"/>
      <c r="D77" s="2073"/>
      <c r="E77" s="2073"/>
      <c r="F77" s="2073"/>
      <c r="G77" s="2073"/>
    </row>
    <row r="78" spans="2:16" x14ac:dyDescent="0.2">
      <c r="B78" s="2073"/>
      <c r="C78" s="2073"/>
      <c r="D78" s="2073"/>
      <c r="E78" s="2073"/>
      <c r="F78" s="2073"/>
      <c r="G78" s="2073"/>
    </row>
    <row r="79" spans="2:16" x14ac:dyDescent="0.2">
      <c r="B79" s="2073"/>
      <c r="C79" s="2073"/>
      <c r="D79" s="2073"/>
      <c r="E79" s="2073"/>
      <c r="F79" s="2073"/>
      <c r="G79" s="2073"/>
    </row>
    <row r="80" spans="2:16" x14ac:dyDescent="0.2">
      <c r="B80" s="2073"/>
      <c r="C80" s="2073"/>
      <c r="D80" s="2073"/>
      <c r="E80" s="2073"/>
      <c r="F80" s="2073"/>
      <c r="G80" s="2073"/>
    </row>
    <row r="81" spans="2:7" x14ac:dyDescent="0.2">
      <c r="B81" s="2073"/>
      <c r="C81" s="2073"/>
      <c r="D81" s="2073"/>
      <c r="E81" s="2073"/>
      <c r="F81" s="2073"/>
      <c r="G81" s="2073"/>
    </row>
    <row r="82" spans="2:7" x14ac:dyDescent="0.2">
      <c r="B82" s="2073"/>
      <c r="C82" s="2073"/>
      <c r="D82" s="2073"/>
      <c r="E82" s="2073"/>
      <c r="F82" s="2073"/>
      <c r="G82" s="2073"/>
    </row>
    <row r="83" spans="2:7" x14ac:dyDescent="0.2">
      <c r="B83" s="2073"/>
      <c r="C83" s="2073"/>
      <c r="D83" s="2073"/>
      <c r="E83" s="2073"/>
      <c r="F83" s="2073"/>
      <c r="G83" s="2073"/>
    </row>
    <row r="84" spans="2:7" x14ac:dyDescent="0.2">
      <c r="B84" s="2073"/>
      <c r="C84" s="2073"/>
      <c r="D84" s="2073"/>
      <c r="E84" s="2073"/>
      <c r="F84" s="2073"/>
      <c r="G84" s="2073"/>
    </row>
    <row r="85" spans="2:7" x14ac:dyDescent="0.2">
      <c r="B85" s="2073"/>
      <c r="C85" s="2073"/>
      <c r="D85" s="2073"/>
      <c r="E85" s="2073"/>
      <c r="F85" s="2073"/>
      <c r="G85" s="2073"/>
    </row>
    <row r="86" spans="2:7" x14ac:dyDescent="0.2">
      <c r="B86" s="2073"/>
      <c r="C86" s="2073"/>
      <c r="D86" s="2073"/>
      <c r="E86" s="2073"/>
      <c r="F86" s="2073"/>
      <c r="G86" s="2073"/>
    </row>
    <row r="87" spans="2:7" x14ac:dyDescent="0.2">
      <c r="B87" s="2073"/>
      <c r="C87" s="2073"/>
      <c r="D87" s="2073"/>
      <c r="E87" s="2073"/>
      <c r="F87" s="2073"/>
      <c r="G87" s="2073"/>
    </row>
    <row r="88" spans="2:7" x14ac:dyDescent="0.2">
      <c r="B88" s="2073"/>
      <c r="C88" s="2073"/>
      <c r="D88" s="2073"/>
      <c r="E88" s="2073"/>
      <c r="F88" s="2073"/>
      <c r="G88" s="2073"/>
    </row>
    <row r="89" spans="2:7" x14ac:dyDescent="0.2">
      <c r="B89" s="2073"/>
      <c r="C89" s="2073"/>
      <c r="D89" s="2073"/>
      <c r="E89" s="2073"/>
      <c r="F89" s="2073"/>
      <c r="G89" s="2073"/>
    </row>
    <row r="90" spans="2:7" x14ac:dyDescent="0.2">
      <c r="B90" s="2073"/>
      <c r="C90" s="2073"/>
      <c r="D90" s="2073"/>
      <c r="E90" s="2073"/>
      <c r="F90" s="2073"/>
      <c r="G90" s="2073"/>
    </row>
    <row r="91" spans="2:7" x14ac:dyDescent="0.2">
      <c r="B91" s="2073"/>
      <c r="C91" s="2073"/>
      <c r="D91" s="2073"/>
      <c r="E91" s="2073"/>
      <c r="F91" s="2073"/>
      <c r="G91" s="2073"/>
    </row>
    <row r="92" spans="2:7" x14ac:dyDescent="0.2">
      <c r="B92" s="2073"/>
      <c r="C92" s="2073"/>
      <c r="D92" s="2073"/>
      <c r="E92" s="2073"/>
      <c r="F92" s="2073"/>
      <c r="G92" s="2073"/>
    </row>
    <row r="93" spans="2:7" x14ac:dyDescent="0.2">
      <c r="B93" s="2073"/>
      <c r="C93" s="2073"/>
      <c r="D93" s="2073"/>
      <c r="E93" s="2073"/>
      <c r="F93" s="2073"/>
      <c r="G93" s="2073"/>
    </row>
    <row r="94" spans="2:7" x14ac:dyDescent="0.2">
      <c r="B94" s="513"/>
      <c r="C94" s="2074"/>
      <c r="D94" s="2074"/>
      <c r="E94" s="2074"/>
      <c r="F94" s="2074"/>
      <c r="G94" s="2074"/>
    </row>
  </sheetData>
  <mergeCells count="5">
    <mergeCell ref="B66:P66"/>
    <mergeCell ref="B67:P72"/>
    <mergeCell ref="B49:B50"/>
    <mergeCell ref="B4:P4"/>
    <mergeCell ref="C6:N6"/>
  </mergeCells>
  <conditionalFormatting sqref="C11:N11">
    <cfRule type="cellIs" dxfId="25" priority="1" operator="equal">
      <formula>"Erro"</formula>
    </cfRule>
  </conditionalFormatting>
  <pageMargins left="0.78740157499999996" right="0.78740157499999996" top="0.984251969" bottom="0.984251969" header="0.49212598499999999" footer="0.49212598499999999"/>
  <pageSetup paperSize="9" scale="83" orientation="landscape" horizontalDpi="4294967293" r:id="rId1"/>
  <headerFooter alignWithMargins="0">
    <oddHeader>&amp;A</oddHeader>
    <oddFooter>Página &amp;P</oddFooter>
  </headerFooter>
  <ignoredErrors>
    <ignoredError sqref="O10" 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8">
    <tabColor rgb="FFFFFF00"/>
  </sheetPr>
  <dimension ref="A1:AM101"/>
  <sheetViews>
    <sheetView showGridLines="0" zoomScale="85" zoomScaleNormal="85" zoomScaleSheetLayoutView="25" workbookViewId="0">
      <selection activeCell="F9" sqref="F9"/>
    </sheetView>
  </sheetViews>
  <sheetFormatPr defaultColWidth="11.42578125" defaultRowHeight="15" x14ac:dyDescent="0.2"/>
  <cols>
    <col min="1" max="1" width="3.42578125" style="1" customWidth="1"/>
    <col min="2" max="2" width="40.28515625" style="14" customWidth="1"/>
    <col min="3" max="3" width="18.28515625" style="14" customWidth="1"/>
    <col min="4" max="4" width="18.7109375" style="14" customWidth="1"/>
    <col min="5" max="5" width="15.140625" style="14" hidden="1" customWidth="1"/>
    <col min="6" max="6" width="22.5703125" style="172" customWidth="1"/>
    <col min="7" max="7" width="20.85546875" style="14" customWidth="1"/>
    <col min="8" max="8" width="22.28515625" style="14" customWidth="1"/>
    <col min="9" max="9" width="22.42578125" style="14" customWidth="1"/>
    <col min="10" max="10" width="23.28515625" style="14" customWidth="1"/>
    <col min="11" max="11" width="11.42578125" style="14" customWidth="1"/>
    <col min="12" max="12" width="1" style="14" customWidth="1"/>
    <col min="13" max="13" width="30.42578125" style="14" customWidth="1"/>
    <col min="14" max="14" width="31.7109375" style="14" customWidth="1"/>
    <col min="15" max="15" width="14.7109375" style="14" customWidth="1"/>
    <col min="16" max="16" width="16.140625" style="14" hidden="1" customWidth="1"/>
    <col min="17" max="17" width="19.42578125" style="15" hidden="1" customWidth="1"/>
    <col min="18" max="18" width="18.7109375" style="14" hidden="1" customWidth="1"/>
    <col min="19" max="19" width="24.7109375" style="15" hidden="1" customWidth="1"/>
    <col min="20" max="20" width="19.5703125" style="14" hidden="1" customWidth="1"/>
    <col min="21" max="21" width="22.42578125" style="1" hidden="1" customWidth="1"/>
    <col min="22" max="22" width="18.42578125" style="1" hidden="1" customWidth="1"/>
    <col min="23" max="23" width="39.28515625" style="1" hidden="1" customWidth="1"/>
    <col min="24" max="32" width="11.42578125" style="1" hidden="1" customWidth="1"/>
    <col min="33" max="37" width="11.42578125" style="1" customWidth="1"/>
    <col min="38" max="16384" width="11.42578125" style="14"/>
  </cols>
  <sheetData>
    <row r="1" spans="2:37" ht="9" customHeight="1" thickBot="1" x14ac:dyDescent="0.25"/>
    <row r="2" spans="2:37" s="5" customFormat="1" ht="21" customHeight="1" thickBot="1" x14ac:dyDescent="0.25">
      <c r="B2" s="2167" t="str">
        <f>CADASTRO!C4</f>
        <v>Digitar o nome</v>
      </c>
      <c r="C2" s="2565"/>
      <c r="D2" s="2565"/>
      <c r="E2" s="2565"/>
      <c r="F2" s="2168" t="str">
        <f>CADASTRO!C6</f>
        <v>Digitar o município</v>
      </c>
      <c r="G2" s="2565"/>
      <c r="H2" s="2565"/>
      <c r="I2" s="2567">
        <f>CADASTRO!C12</f>
        <v>44013</v>
      </c>
      <c r="J2" s="2566">
        <f>CADASTRO!C14</f>
        <v>44377</v>
      </c>
      <c r="Z2" s="56"/>
    </row>
    <row r="3" spans="2:37" s="1" customFormat="1" ht="6" customHeight="1" thickBot="1" x14ac:dyDescent="0.25">
      <c r="Q3" s="5"/>
    </row>
    <row r="4" spans="2:37" ht="28.5" customHeight="1" thickBot="1" x14ac:dyDescent="0.25">
      <c r="B4" s="2868" t="s">
        <v>994</v>
      </c>
      <c r="C4" s="2869"/>
      <c r="D4" s="2869"/>
      <c r="E4" s="2869"/>
      <c r="F4" s="2869"/>
      <c r="G4" s="2869"/>
      <c r="H4" s="2869"/>
      <c r="I4" s="2869"/>
      <c r="J4" s="2870"/>
      <c r="K4" s="1"/>
      <c r="L4" s="1"/>
      <c r="M4" s="1"/>
      <c r="P4" s="23"/>
      <c r="Q4" s="25"/>
      <c r="R4" s="5"/>
      <c r="S4" s="5"/>
      <c r="T4" s="5"/>
      <c r="U4" s="5"/>
      <c r="V4" s="5"/>
      <c r="W4" s="5"/>
      <c r="X4" s="5"/>
      <c r="Z4" s="56"/>
    </row>
    <row r="5" spans="2:37" s="5" customFormat="1" ht="9.75" customHeight="1" thickBot="1" x14ac:dyDescent="0.25"/>
    <row r="6" spans="2:37" ht="25.5" customHeight="1" thickBot="1" x14ac:dyDescent="0.25">
      <c r="B6" s="2873" t="s">
        <v>839</v>
      </c>
      <c r="C6" s="2871" t="s">
        <v>855</v>
      </c>
      <c r="D6" s="2849" t="s">
        <v>995</v>
      </c>
      <c r="E6" s="2849" t="s">
        <v>1076</v>
      </c>
      <c r="F6" s="2849" t="s">
        <v>1074</v>
      </c>
      <c r="G6" s="2856" t="s">
        <v>996</v>
      </c>
      <c r="H6" s="2847" t="s">
        <v>71</v>
      </c>
      <c r="I6" s="2847"/>
      <c r="J6" s="2848"/>
      <c r="K6" s="5"/>
      <c r="L6" s="2861" t="s">
        <v>856</v>
      </c>
      <c r="M6" s="2851" t="s">
        <v>998</v>
      </c>
      <c r="N6" s="2852"/>
      <c r="O6" s="28"/>
      <c r="P6" s="28"/>
      <c r="Q6" s="25"/>
      <c r="R6" s="25"/>
      <c r="S6" s="5"/>
      <c r="T6" s="5"/>
      <c r="U6" s="5"/>
      <c r="V6" s="5"/>
      <c r="W6" s="5"/>
      <c r="Y6" s="56"/>
      <c r="AK6" s="14"/>
    </row>
    <row r="7" spans="2:37" ht="49.5" customHeight="1" thickBot="1" x14ac:dyDescent="0.3">
      <c r="B7" s="2874"/>
      <c r="C7" s="2872"/>
      <c r="D7" s="2850"/>
      <c r="E7" s="2850"/>
      <c r="F7" s="2850"/>
      <c r="G7" s="2857"/>
      <c r="H7" s="2257" t="s">
        <v>859</v>
      </c>
      <c r="I7" s="2258" t="s">
        <v>1075</v>
      </c>
      <c r="J7" s="2259" t="s">
        <v>874</v>
      </c>
      <c r="K7" s="5"/>
      <c r="L7" s="2861"/>
      <c r="M7" s="2282" t="s">
        <v>999</v>
      </c>
      <c r="N7" s="2283" t="s">
        <v>1000</v>
      </c>
      <c r="Q7" s="1824" t="s">
        <v>68</v>
      </c>
      <c r="R7" s="1824"/>
      <c r="S7" s="1013"/>
      <c r="U7" s="133" t="s">
        <v>142</v>
      </c>
      <c r="V7" s="134" t="s">
        <v>143</v>
      </c>
      <c r="AK7" s="14"/>
    </row>
    <row r="8" spans="2:37" s="1" customFormat="1" ht="7.5" customHeight="1" thickBot="1" x14ac:dyDescent="0.25">
      <c r="B8" s="2226"/>
      <c r="E8" s="2095"/>
      <c r="G8" s="2226"/>
      <c r="K8" s="5"/>
      <c r="L8" s="2089"/>
      <c r="M8" s="2853" t="s">
        <v>787</v>
      </c>
      <c r="N8" s="2855"/>
      <c r="Q8" s="1808"/>
      <c r="R8" s="1808"/>
      <c r="S8" s="5"/>
      <c r="U8" s="1883"/>
      <c r="V8" s="1884"/>
    </row>
    <row r="9" spans="2:37" ht="21" customHeight="1" x14ac:dyDescent="0.2">
      <c r="B9" s="2266" t="str">
        <f>IF(SOLO!G9=0,"",SOLO!G9)</f>
        <v/>
      </c>
      <c r="C9" s="2263">
        <f>SOLO!I9+SOLO!J9</f>
        <v>0</v>
      </c>
      <c r="D9" s="2211"/>
      <c r="E9" s="2666">
        <f>C9*D9</f>
        <v>0</v>
      </c>
      <c r="F9" s="2212"/>
      <c r="G9" s="2227">
        <f>L9*F9</f>
        <v>0</v>
      </c>
      <c r="H9" s="2222"/>
      <c r="I9" s="2211"/>
      <c r="J9" s="2213">
        <f>L9-H9-I9</f>
        <v>0</v>
      </c>
      <c r="K9" s="14" t="str">
        <f>IF(Q9&lt;&gt;"CERTO","ERRO","")</f>
        <v/>
      </c>
      <c r="L9" s="2090">
        <f>C9*D9</f>
        <v>0</v>
      </c>
      <c r="M9" s="2846"/>
      <c r="N9" s="2854"/>
      <c r="Q9" s="1825" t="str">
        <f>IF(J9&lt;0,"ERRO ESTOQUE NEGATIVO","CERTO")</f>
        <v>CERTO</v>
      </c>
      <c r="R9" s="1825"/>
      <c r="S9" s="1820"/>
      <c r="U9" s="136">
        <f>H9*F9</f>
        <v>0</v>
      </c>
      <c r="V9" s="136">
        <f t="shared" ref="V9:V14" si="0">I9*F9</f>
        <v>0</v>
      </c>
      <c r="Z9" s="14"/>
      <c r="AA9" s="14"/>
      <c r="AB9" s="14"/>
      <c r="AC9" s="14"/>
      <c r="AD9" s="14"/>
      <c r="AK9" s="14"/>
    </row>
    <row r="10" spans="2:37" ht="18" customHeight="1" x14ac:dyDescent="0.2">
      <c r="B10" s="2267" t="str">
        <f>IF(SOLO!G10=0,"",SOLO!G10)</f>
        <v/>
      </c>
      <c r="C10" s="2264">
        <f>SOLO!I10+SOLO!J10</f>
        <v>0</v>
      </c>
      <c r="D10" s="2214"/>
      <c r="E10" s="2667">
        <f>C10*D10</f>
        <v>0</v>
      </c>
      <c r="F10" s="2215"/>
      <c r="G10" s="2228">
        <f>L10*F10</f>
        <v>0</v>
      </c>
      <c r="H10" s="2223"/>
      <c r="I10" s="2214"/>
      <c r="J10" s="2216">
        <f>L10-H10-I10</f>
        <v>0</v>
      </c>
      <c r="K10" s="14" t="str">
        <f>IF(Q10&lt;&gt;"CERTO","ERRO","")</f>
        <v/>
      </c>
      <c r="L10" s="2090">
        <f>C10*D10</f>
        <v>0</v>
      </c>
      <c r="M10" s="2846" t="s">
        <v>788</v>
      </c>
      <c r="N10" s="2854"/>
      <c r="Q10" s="1825" t="str">
        <f>IF(J10&lt;0,"ERRO ESTOQUE NEGATIVO","CERTO")</f>
        <v>CERTO</v>
      </c>
      <c r="R10" s="1825"/>
      <c r="S10" s="1820"/>
      <c r="U10" s="136">
        <f>H10*F10</f>
        <v>0</v>
      </c>
      <c r="V10" s="136">
        <f t="shared" si="0"/>
        <v>0</v>
      </c>
      <c r="Z10" s="14"/>
      <c r="AA10" s="14"/>
      <c r="AB10" s="14"/>
      <c r="AC10" s="14"/>
      <c r="AD10" s="14"/>
      <c r="AK10" s="14"/>
    </row>
    <row r="11" spans="2:37" ht="15" customHeight="1" x14ac:dyDescent="0.2">
      <c r="B11" s="2267" t="str">
        <f>IF(SOLO!G11=0,"",SOLO!G11)</f>
        <v/>
      </c>
      <c r="C11" s="2264">
        <f>SOLO!I11+SOLO!J11</f>
        <v>0</v>
      </c>
      <c r="D11" s="2214"/>
      <c r="E11" s="2667">
        <f>C11*D11</f>
        <v>0</v>
      </c>
      <c r="F11" s="2215"/>
      <c r="G11" s="2228">
        <f>L11*F11</f>
        <v>0</v>
      </c>
      <c r="H11" s="2223"/>
      <c r="I11" s="2214"/>
      <c r="J11" s="2216">
        <f>L11-H11-I11</f>
        <v>0</v>
      </c>
      <c r="K11" s="14" t="str">
        <f>IF(Q11&lt;&gt;"CERTO","ERRO","")</f>
        <v/>
      </c>
      <c r="L11" s="2090">
        <f>C11*D11</f>
        <v>0</v>
      </c>
      <c r="M11" s="2846"/>
      <c r="N11" s="2854"/>
      <c r="Q11" s="1825" t="str">
        <f>IF(J11&lt;0,"ERRO ESTOQUE NEGATIVO","CERTO")</f>
        <v>CERTO</v>
      </c>
      <c r="R11" s="1825"/>
      <c r="S11" s="1820"/>
      <c r="U11" s="136">
        <f>D11*F11*C11</f>
        <v>0</v>
      </c>
      <c r="V11" s="136">
        <f t="shared" si="0"/>
        <v>0</v>
      </c>
      <c r="Z11" s="14"/>
      <c r="AA11" s="14"/>
      <c r="AB11" s="14"/>
      <c r="AC11" s="14"/>
      <c r="AD11" s="14"/>
      <c r="AK11" s="14"/>
    </row>
    <row r="12" spans="2:37" ht="18" customHeight="1" x14ac:dyDescent="0.2">
      <c r="B12" s="2267" t="str">
        <f>IF(SOLO!G13=0,"",SOLO!G13)</f>
        <v/>
      </c>
      <c r="C12" s="2264">
        <f>SOLO!K13+SOLO!L13</f>
        <v>0</v>
      </c>
      <c r="D12" s="2214"/>
      <c r="E12" s="2667">
        <f>C12*D12</f>
        <v>0</v>
      </c>
      <c r="F12" s="2215"/>
      <c r="G12" s="2228">
        <f>L12*F12</f>
        <v>0</v>
      </c>
      <c r="H12" s="2223"/>
      <c r="I12" s="2214"/>
      <c r="J12" s="2216">
        <f>L12-H12-I12</f>
        <v>0</v>
      </c>
      <c r="K12" s="14" t="str">
        <f>IF(Q12&lt;&gt;"CERTO","ERRO","")</f>
        <v/>
      </c>
      <c r="L12" s="2090">
        <f>C12*D12</f>
        <v>0</v>
      </c>
      <c r="M12" s="2846"/>
      <c r="N12" s="2854"/>
      <c r="Q12" s="1825" t="str">
        <f>IF(J12&lt;0,"ERRO ESTOQUE NEGATIVO","CERTO")</f>
        <v>CERTO</v>
      </c>
      <c r="R12" s="1825"/>
      <c r="S12" s="1820"/>
      <c r="U12" s="136">
        <f>H12*F12</f>
        <v>0</v>
      </c>
      <c r="V12" s="136">
        <f t="shared" si="0"/>
        <v>0</v>
      </c>
      <c r="Z12" s="14"/>
      <c r="AA12" s="14"/>
      <c r="AB12" s="14"/>
      <c r="AC12" s="14"/>
      <c r="AD12" s="14"/>
      <c r="AK12" s="14"/>
    </row>
    <row r="13" spans="2:37" ht="15.75" customHeight="1" thickBot="1" x14ac:dyDescent="0.25">
      <c r="B13" s="2267" t="str">
        <f>IF(SOLO!G14=0,"",SOLO!G14)</f>
        <v/>
      </c>
      <c r="C13" s="2264">
        <f>SOLO!K14+SOLO!L14</f>
        <v>0</v>
      </c>
      <c r="D13" s="2214"/>
      <c r="E13" s="2667">
        <f>C13*D13</f>
        <v>0</v>
      </c>
      <c r="F13" s="2215"/>
      <c r="G13" s="2228">
        <f>L13*F13</f>
        <v>0</v>
      </c>
      <c r="H13" s="2223"/>
      <c r="I13" s="2214"/>
      <c r="J13" s="2216">
        <f>L13-H13-I13</f>
        <v>0</v>
      </c>
      <c r="K13" s="14" t="str">
        <f>IF(Q13&lt;&gt;"CERTO","ERRO","")</f>
        <v/>
      </c>
      <c r="L13" s="2090">
        <f>C13*D13</f>
        <v>0</v>
      </c>
      <c r="M13" s="2846"/>
      <c r="N13" s="2854"/>
      <c r="Q13" s="1825" t="str">
        <f>IF(J13&lt;0,"ERRO ESTOQUE NEGATIVO","CERTO")</f>
        <v>CERTO</v>
      </c>
      <c r="R13" s="1825"/>
      <c r="S13" s="1820"/>
      <c r="U13" s="136">
        <f>H13*F13</f>
        <v>0</v>
      </c>
      <c r="V13" s="136">
        <f t="shared" si="0"/>
        <v>0</v>
      </c>
      <c r="Z13" s="14"/>
      <c r="AA13" s="14"/>
      <c r="AB13" s="14"/>
      <c r="AC13" s="14"/>
      <c r="AD13" s="14"/>
      <c r="AK13" s="14"/>
    </row>
    <row r="14" spans="2:37" ht="15.75" customHeight="1" thickBot="1" x14ac:dyDescent="0.25">
      <c r="B14" s="2268" t="str">
        <f>IF(SOLO!G15=0,"",SOLO!G15)</f>
        <v/>
      </c>
      <c r="C14" s="2140"/>
      <c r="D14" s="2217"/>
      <c r="E14" s="2668"/>
      <c r="F14" s="2218"/>
      <c r="G14" s="2229"/>
      <c r="H14" s="2224"/>
      <c r="I14" s="2217"/>
      <c r="J14" s="2219"/>
      <c r="L14" s="2090"/>
      <c r="M14" s="2862" t="s">
        <v>82</v>
      </c>
      <c r="N14" s="2864">
        <f>SUM(N8:N13)</f>
        <v>0</v>
      </c>
      <c r="Q14" s="1825"/>
      <c r="R14" s="1825"/>
      <c r="S14" s="1820"/>
      <c r="U14" s="136">
        <f>H14*F14</f>
        <v>0</v>
      </c>
      <c r="V14" s="136">
        <f t="shared" si="0"/>
        <v>0</v>
      </c>
      <c r="Z14" s="14"/>
      <c r="AA14" s="14"/>
      <c r="AB14" s="14"/>
      <c r="AC14" s="14"/>
      <c r="AD14" s="14"/>
      <c r="AK14" s="14"/>
    </row>
    <row r="15" spans="2:37" ht="22.5" customHeight="1" thickBot="1" x14ac:dyDescent="0.3">
      <c r="B15" s="2269" t="s">
        <v>82</v>
      </c>
      <c r="C15" s="2265">
        <f>SUM(C9:C13)</f>
        <v>0</v>
      </c>
      <c r="D15" s="2221"/>
      <c r="E15" s="2669"/>
      <c r="F15" s="2221"/>
      <c r="G15" s="2230">
        <f>SUMIF(G9:G13,"&gt;0,00011")</f>
        <v>0</v>
      </c>
      <c r="H15" s="2225">
        <f>SUM(H9:H14)</f>
        <v>0</v>
      </c>
      <c r="I15" s="2209">
        <f>SUM(I9:I13)</f>
        <v>0</v>
      </c>
      <c r="J15" s="2210">
        <f>L15-H15-I15</f>
        <v>0</v>
      </c>
      <c r="L15" s="2091">
        <f>SUM(L9:L13)</f>
        <v>0</v>
      </c>
      <c r="M15" s="2863"/>
      <c r="N15" s="2865"/>
      <c r="Q15" s="1826"/>
      <c r="R15" s="1826"/>
      <c r="S15" s="1821"/>
      <c r="U15" s="135">
        <f>SUM(U9:U14)</f>
        <v>0</v>
      </c>
      <c r="V15" s="135">
        <f>SUM(V9:V14)</f>
        <v>0</v>
      </c>
      <c r="Z15" s="14"/>
      <c r="AA15" s="14"/>
      <c r="AB15" s="14"/>
      <c r="AC15" s="14"/>
      <c r="AD15" s="14"/>
      <c r="AK15" s="14"/>
    </row>
    <row r="16" spans="2:37" ht="12.75" customHeight="1" thickBot="1" x14ac:dyDescent="0.3">
      <c r="B16" s="2220"/>
      <c r="C16" s="13"/>
      <c r="D16" s="13"/>
      <c r="E16" s="2094"/>
      <c r="F16" s="33"/>
      <c r="G16" s="33"/>
      <c r="H16" s="33"/>
      <c r="I16" s="5"/>
      <c r="J16" s="5"/>
      <c r="K16" s="5"/>
      <c r="L16" s="2092"/>
      <c r="Q16" s="1808"/>
      <c r="R16" s="1808"/>
      <c r="S16" s="5"/>
      <c r="T16" s="5"/>
      <c r="U16" s="5"/>
      <c r="V16" s="5"/>
      <c r="W16" s="5"/>
      <c r="X16" s="14"/>
      <c r="Y16" s="14"/>
      <c r="Z16" s="14"/>
      <c r="AA16" s="14"/>
      <c r="AB16" s="14"/>
      <c r="AC16" s="14"/>
      <c r="AD16" s="14"/>
    </row>
    <row r="17" spans="2:30" ht="25.5" customHeight="1" x14ac:dyDescent="0.25">
      <c r="B17" s="2747" t="s">
        <v>922</v>
      </c>
      <c r="C17" s="2871" t="s">
        <v>956</v>
      </c>
      <c r="D17" s="2849" t="s">
        <v>856</v>
      </c>
      <c r="E17" s="2253"/>
      <c r="F17" s="2858" t="s">
        <v>71</v>
      </c>
      <c r="G17" s="2859"/>
      <c r="H17" s="2859"/>
      <c r="I17" s="2859"/>
      <c r="J17" s="2860"/>
      <c r="L17" s="2092"/>
      <c r="M17" s="2276" t="s">
        <v>924</v>
      </c>
      <c r="N17" s="2278">
        <f>RESULTADOS!G37</f>
        <v>0</v>
      </c>
      <c r="Q17" s="2066"/>
      <c r="R17" s="2066"/>
      <c r="S17" s="2066"/>
      <c r="T17" s="5"/>
      <c r="U17" s="5"/>
      <c r="V17" s="5"/>
      <c r="W17" s="5"/>
      <c r="X17" s="14"/>
      <c r="Y17" s="14"/>
      <c r="Z17" s="14"/>
      <c r="AA17" s="14"/>
      <c r="AB17" s="14"/>
      <c r="AC17" s="14"/>
      <c r="AD17" s="14"/>
    </row>
    <row r="18" spans="2:30" ht="22.5" customHeight="1" thickBot="1" x14ac:dyDescent="0.3">
      <c r="B18" s="2748"/>
      <c r="C18" s="2872"/>
      <c r="D18" s="2850"/>
      <c r="E18" s="2254"/>
      <c r="F18" s="2260" t="s">
        <v>997</v>
      </c>
      <c r="G18" s="2261" t="s">
        <v>1079</v>
      </c>
      <c r="H18" s="2255" t="s">
        <v>1080</v>
      </c>
      <c r="I18" s="2256" t="s">
        <v>1081</v>
      </c>
      <c r="J18" s="2262" t="s">
        <v>1082</v>
      </c>
      <c r="L18" s="2092"/>
      <c r="M18" s="2277" t="s">
        <v>1001</v>
      </c>
      <c r="N18" s="2279" t="str">
        <f>RESULTADOS!G39</f>
        <v/>
      </c>
      <c r="Q18" s="2066" t="s">
        <v>68</v>
      </c>
      <c r="R18" s="2066" t="s">
        <v>637</v>
      </c>
      <c r="S18" s="2066"/>
      <c r="T18" s="5"/>
      <c r="U18" s="5"/>
      <c r="V18" s="5"/>
      <c r="W18" s="5"/>
      <c r="X18" s="5"/>
      <c r="Z18" s="56"/>
    </row>
    <row r="19" spans="2:30" ht="21" customHeight="1" x14ac:dyDescent="0.25">
      <c r="B19" s="2272">
        <f>SOLO!G30</f>
        <v>0</v>
      </c>
      <c r="C19" s="2223"/>
      <c r="D19" s="2250">
        <f>C19*(SOLO!I30+SOLO!J30)</f>
        <v>0</v>
      </c>
      <c r="E19" s="2232"/>
      <c r="F19" s="2233">
        <f>G19*D19</f>
        <v>0</v>
      </c>
      <c r="G19" s="2238"/>
      <c r="H19" s="2239"/>
      <c r="I19" s="2240"/>
      <c r="J19" s="2241"/>
      <c r="K19" s="2088" t="str">
        <f>IF(OR(SUM(G19:J19)=1,SUM(G19:J19)=0),"","ERRO %")</f>
        <v/>
      </c>
      <c r="L19" s="2093"/>
      <c r="M19" s="2276" t="s">
        <v>925</v>
      </c>
      <c r="N19" s="2280"/>
      <c r="Q19" s="2066" t="str">
        <f>IF(G19+H19+I19+J19=1,"CERTO","ERRO")</f>
        <v>ERRO</v>
      </c>
      <c r="R19" s="2067">
        <f>1-G19-H19-I19-J19</f>
        <v>1</v>
      </c>
      <c r="S19" s="2066"/>
      <c r="T19" s="5"/>
      <c r="U19" s="5"/>
      <c r="V19" s="5"/>
      <c r="W19" s="5"/>
      <c r="X19" s="5"/>
      <c r="Z19" s="56"/>
    </row>
    <row r="20" spans="2:30" ht="21" customHeight="1" thickBot="1" x14ac:dyDescent="0.3">
      <c r="B20" s="2273">
        <f>SOLO!G31</f>
        <v>0</v>
      </c>
      <c r="C20" s="2270"/>
      <c r="D20" s="2251">
        <f>C20*(SOLO!I31+SOLO!J31)</f>
        <v>0</v>
      </c>
      <c r="E20" s="2234"/>
      <c r="F20" s="2235">
        <f t="shared" ref="F20:F22" si="1">G20*D20</f>
        <v>0</v>
      </c>
      <c r="G20" s="2242"/>
      <c r="H20" s="2243"/>
      <c r="I20" s="2244"/>
      <c r="J20" s="2245"/>
      <c r="K20" s="2088" t="str">
        <f>IF(OR(SUM(G20:J20)=1,SUM(G20:J20)=0),"","ERRO %")</f>
        <v/>
      </c>
      <c r="L20" s="2093"/>
      <c r="M20" s="2277" t="s">
        <v>926</v>
      </c>
      <c r="N20" s="2281"/>
      <c r="Q20" s="2066" t="str">
        <f t="shared" ref="Q20:Q23" si="2">IF(G20+H20+I20+J20=1,"CERTO","ERRO")</f>
        <v>ERRO</v>
      </c>
      <c r="R20" s="2067">
        <f t="shared" ref="R20:R22" si="3">1-G20-H20-I20-J20</f>
        <v>1</v>
      </c>
      <c r="S20" s="2066"/>
      <c r="T20" s="5"/>
      <c r="U20" s="5"/>
      <c r="V20" s="5"/>
      <c r="W20" s="5"/>
      <c r="X20" s="5"/>
      <c r="Z20" s="56"/>
    </row>
    <row r="21" spans="2:30" ht="21" customHeight="1" x14ac:dyDescent="0.25">
      <c r="B21" s="2274">
        <f>SOLO!G32</f>
        <v>0</v>
      </c>
      <c r="C21" s="2270"/>
      <c r="D21" s="2251">
        <f>C21*(SOLO!K32+SOLO!L32)</f>
        <v>0</v>
      </c>
      <c r="E21" s="2234"/>
      <c r="F21" s="2235">
        <f t="shared" si="1"/>
        <v>0</v>
      </c>
      <c r="G21" s="2242"/>
      <c r="H21" s="2243"/>
      <c r="I21" s="2244"/>
      <c r="J21" s="2245"/>
      <c r="K21" s="2088" t="str">
        <f t="shared" ref="K21:K22" si="4">IF(OR(SUM(G21:J21)=1,SUM(G21:J21)=0),"","ERRO %")</f>
        <v/>
      </c>
      <c r="L21" s="2093"/>
      <c r="Q21" s="2066" t="str">
        <f t="shared" si="2"/>
        <v>ERRO</v>
      </c>
      <c r="R21" s="2067">
        <f t="shared" si="3"/>
        <v>1</v>
      </c>
      <c r="S21" s="2066"/>
      <c r="T21" s="5"/>
      <c r="U21" s="5"/>
      <c r="V21" s="5"/>
      <c r="W21" s="5"/>
      <c r="X21" s="5"/>
      <c r="Z21" s="56"/>
    </row>
    <row r="22" spans="2:30" ht="24.75" customHeight="1" thickBot="1" x14ac:dyDescent="0.3">
      <c r="B22" s="2275">
        <f>SOLO!G34</f>
        <v>0</v>
      </c>
      <c r="C22" s="2271"/>
      <c r="D22" s="2252">
        <f>C22*(SOLO!I34+SOLO!J34)</f>
        <v>0</v>
      </c>
      <c r="E22" s="2236"/>
      <c r="F22" s="2237">
        <f t="shared" si="1"/>
        <v>0</v>
      </c>
      <c r="G22" s="2246"/>
      <c r="H22" s="2247"/>
      <c r="I22" s="2248"/>
      <c r="J22" s="2249"/>
      <c r="K22" s="2088" t="str">
        <f t="shared" si="4"/>
        <v/>
      </c>
      <c r="L22" s="2093"/>
      <c r="Q22" s="2066" t="str">
        <f t="shared" si="2"/>
        <v>ERRO</v>
      </c>
      <c r="R22" s="2067">
        <f t="shared" si="3"/>
        <v>1</v>
      </c>
      <c r="S22" s="2066"/>
      <c r="T22" s="4"/>
      <c r="Z22" s="56"/>
    </row>
    <row r="23" spans="2:30" ht="16.5" thickBot="1" x14ac:dyDescent="0.3">
      <c r="B23" s="2231"/>
      <c r="C23" s="34"/>
      <c r="D23" s="34"/>
      <c r="E23" s="35"/>
      <c r="F23" s="14"/>
      <c r="G23" s="5"/>
      <c r="H23" s="5"/>
      <c r="I23" s="5"/>
      <c r="J23" s="5"/>
      <c r="K23" s="5"/>
      <c r="L23" s="1"/>
      <c r="M23" s="1"/>
      <c r="N23" s="1"/>
      <c r="O23" s="5"/>
      <c r="P23" s="5"/>
      <c r="Q23" s="2066" t="str">
        <f t="shared" si="2"/>
        <v>ERRO</v>
      </c>
      <c r="R23" s="2067">
        <f>1-G20-H20-I20-J20</f>
        <v>1</v>
      </c>
      <c r="S23" s="5"/>
      <c r="T23" s="4"/>
      <c r="Z23" s="56"/>
    </row>
    <row r="24" spans="2:30" ht="35.25" customHeight="1" thickBot="1" x14ac:dyDescent="0.25">
      <c r="B24" s="2875" t="s">
        <v>858</v>
      </c>
      <c r="C24" s="2876"/>
      <c r="D24" s="2876"/>
      <c r="E24" s="2876"/>
      <c r="F24" s="2876"/>
      <c r="G24" s="2877"/>
      <c r="I24" s="5"/>
      <c r="J24" s="5" t="s">
        <v>936</v>
      </c>
      <c r="K24" s="5" t="s">
        <v>837</v>
      </c>
      <c r="Q24" s="14"/>
      <c r="R24" s="1"/>
      <c r="S24" s="5"/>
      <c r="T24" s="4"/>
      <c r="Z24" s="56"/>
    </row>
    <row r="25" spans="2:30" ht="28.5" customHeight="1" thickBot="1" x14ac:dyDescent="0.25">
      <c r="B25" s="2294"/>
      <c r="C25" s="2295" t="s">
        <v>857</v>
      </c>
      <c r="D25" s="2296" t="s">
        <v>1004</v>
      </c>
      <c r="E25" s="2284"/>
      <c r="F25" s="2780" t="s">
        <v>1002</v>
      </c>
      <c r="G25" s="2816"/>
      <c r="I25" s="2106">
        <f>B27</f>
        <v>44013</v>
      </c>
      <c r="J25" s="1807">
        <f t="shared" ref="J25:J36" si="5">C27</f>
        <v>0</v>
      </c>
      <c r="K25" s="1806">
        <f t="shared" ref="K25:K36" si="6">D27</f>
        <v>0</v>
      </c>
      <c r="Q25" s="14"/>
      <c r="R25" s="1"/>
      <c r="S25" s="5"/>
      <c r="T25" s="4"/>
      <c r="Z25" s="56"/>
    </row>
    <row r="26" spans="2:30" ht="30" customHeight="1" thickBot="1" x14ac:dyDescent="0.25">
      <c r="B26" s="2285" t="s">
        <v>1003</v>
      </c>
      <c r="C26" s="1976">
        <f>C39/12</f>
        <v>0</v>
      </c>
      <c r="D26" s="2297" t="str">
        <f>IF(F39=0,"",F39/C39)</f>
        <v/>
      </c>
      <c r="E26" s="2675"/>
      <c r="F26" s="2817">
        <f>AVERAGE(F27:F38)</f>
        <v>0</v>
      </c>
      <c r="G26" s="2818"/>
      <c r="I26" s="2106">
        <f t="shared" ref="I26:I36" si="7">B28</f>
        <v>44044</v>
      </c>
      <c r="J26" s="1807">
        <f t="shared" si="5"/>
        <v>0</v>
      </c>
      <c r="K26" s="1806">
        <f t="shared" si="6"/>
        <v>0</v>
      </c>
      <c r="Q26" s="14"/>
      <c r="R26" s="1"/>
      <c r="S26" s="5"/>
      <c r="T26" s="4"/>
      <c r="W26" s="1823"/>
      <c r="X26" s="1823"/>
      <c r="Y26" s="1823"/>
    </row>
    <row r="27" spans="2:30" ht="21" customHeight="1" x14ac:dyDescent="0.25">
      <c r="B27" s="2286">
        <f>RESUMO!D43</f>
        <v>44013</v>
      </c>
      <c r="C27" s="2298"/>
      <c r="D27" s="2299"/>
      <c r="E27" s="2676"/>
      <c r="F27" s="2819">
        <f t="shared" ref="F27:F38" si="8">D27*C27</f>
        <v>0</v>
      </c>
      <c r="G27" s="2820"/>
      <c r="I27" s="2106">
        <f t="shared" si="7"/>
        <v>44075</v>
      </c>
      <c r="J27" s="1807">
        <f t="shared" si="5"/>
        <v>0</v>
      </c>
      <c r="K27" s="1806">
        <f t="shared" si="6"/>
        <v>0</v>
      </c>
      <c r="Q27" s="14"/>
      <c r="R27" s="1"/>
      <c r="S27" s="5"/>
      <c r="T27" s="5"/>
      <c r="U27" s="1871" t="s">
        <v>82</v>
      </c>
      <c r="V27" s="1872"/>
      <c r="W27" s="1873"/>
      <c r="X27" s="1873"/>
      <c r="Y27" s="1873"/>
      <c r="Z27" s="1874"/>
    </row>
    <row r="28" spans="2:30" ht="21" customHeight="1" x14ac:dyDescent="0.2">
      <c r="B28" s="2286">
        <f>RESUMO!D44</f>
        <v>44044</v>
      </c>
      <c r="C28" s="2298"/>
      <c r="D28" s="2299"/>
      <c r="E28" s="2676"/>
      <c r="F28" s="2821">
        <f t="shared" si="8"/>
        <v>0</v>
      </c>
      <c r="G28" s="2822"/>
      <c r="I28" s="2106">
        <f t="shared" si="7"/>
        <v>44106</v>
      </c>
      <c r="J28" s="1807">
        <f t="shared" si="5"/>
        <v>0</v>
      </c>
      <c r="K28" s="1806">
        <f t="shared" si="6"/>
        <v>0</v>
      </c>
      <c r="Q28" s="14"/>
      <c r="R28" s="5"/>
      <c r="S28" s="5"/>
      <c r="T28" s="5"/>
      <c r="U28" s="1875" t="s">
        <v>802</v>
      </c>
      <c r="V28" s="1866" t="e">
        <f>R93+R86+AD76+F39+F41+U15</f>
        <v>#VALUE!</v>
      </c>
      <c r="W28" s="1864"/>
      <c r="X28" s="1864"/>
      <c r="Y28" s="1864"/>
      <c r="Z28" s="1876" t="e">
        <f>V28*0.023</f>
        <v>#VALUE!</v>
      </c>
    </row>
    <row r="29" spans="2:30" ht="21" customHeight="1" x14ac:dyDescent="0.2">
      <c r="B29" s="2286">
        <f>RESUMO!D45</f>
        <v>44075</v>
      </c>
      <c r="C29" s="2298"/>
      <c r="D29" s="2299"/>
      <c r="E29" s="2676"/>
      <c r="F29" s="2821">
        <f t="shared" si="8"/>
        <v>0</v>
      </c>
      <c r="G29" s="2822"/>
      <c r="I29" s="2106">
        <f t="shared" si="7"/>
        <v>44137</v>
      </c>
      <c r="J29" s="1807">
        <f t="shared" si="5"/>
        <v>0</v>
      </c>
      <c r="K29" s="1806">
        <f t="shared" si="6"/>
        <v>0</v>
      </c>
      <c r="Q29" s="14"/>
      <c r="R29" s="5"/>
      <c r="S29" s="5"/>
      <c r="T29" s="5"/>
      <c r="U29" s="1877" t="s">
        <v>803</v>
      </c>
      <c r="V29" s="1866" t="e">
        <f>F40+AE76+S86+S93</f>
        <v>#VALUE!</v>
      </c>
      <c r="W29" s="1864"/>
      <c r="X29" s="1864"/>
      <c r="Y29" s="1864"/>
      <c r="Z29" s="1876"/>
    </row>
    <row r="30" spans="2:30" ht="18.75" customHeight="1" x14ac:dyDescent="0.2">
      <c r="B30" s="2286">
        <f>RESUMO!D46</f>
        <v>44106</v>
      </c>
      <c r="C30" s="2298"/>
      <c r="D30" s="2299"/>
      <c r="E30" s="2676"/>
      <c r="F30" s="2821">
        <f t="shared" si="8"/>
        <v>0</v>
      </c>
      <c r="G30" s="2822"/>
      <c r="I30" s="2106">
        <f t="shared" si="7"/>
        <v>44168</v>
      </c>
      <c r="J30" s="1807">
        <f t="shared" si="5"/>
        <v>0</v>
      </c>
      <c r="K30" s="1806">
        <f t="shared" si="6"/>
        <v>0</v>
      </c>
      <c r="Q30" s="14"/>
      <c r="R30" s="5"/>
      <c r="S30" s="5"/>
      <c r="T30" s="5"/>
      <c r="U30" s="1877" t="s">
        <v>804</v>
      </c>
      <c r="V30" s="1866" t="e">
        <f>V15+AF76+T86+F42</f>
        <v>#VALUE!</v>
      </c>
      <c r="W30" s="1864"/>
      <c r="X30" s="477"/>
      <c r="Y30" s="477"/>
      <c r="Z30" s="1876"/>
    </row>
    <row r="31" spans="2:30" ht="20.25" customHeight="1" x14ac:dyDescent="0.2">
      <c r="B31" s="2286">
        <f>RESUMO!D47</f>
        <v>44137</v>
      </c>
      <c r="C31" s="2298"/>
      <c r="D31" s="2299"/>
      <c r="E31" s="2676"/>
      <c r="F31" s="2821">
        <f t="shared" si="8"/>
        <v>0</v>
      </c>
      <c r="G31" s="2822"/>
      <c r="I31" s="2106">
        <f t="shared" si="7"/>
        <v>44199</v>
      </c>
      <c r="J31" s="1807">
        <f t="shared" si="5"/>
        <v>0</v>
      </c>
      <c r="K31" s="1806">
        <f t="shared" si="6"/>
        <v>0</v>
      </c>
      <c r="Q31" s="14"/>
      <c r="R31" s="5"/>
      <c r="S31" s="5"/>
      <c r="T31" s="5"/>
      <c r="U31" s="1877" t="s">
        <v>805</v>
      </c>
      <c r="V31" s="1866">
        <f>N14</f>
        <v>0</v>
      </c>
      <c r="W31" s="1867"/>
      <c r="X31" s="477" t="s">
        <v>68</v>
      </c>
      <c r="Y31" s="477"/>
      <c r="Z31" s="1876"/>
    </row>
    <row r="32" spans="2:30" ht="18" customHeight="1" x14ac:dyDescent="0.2">
      <c r="B32" s="2286">
        <f>RESUMO!D48</f>
        <v>44168</v>
      </c>
      <c r="C32" s="2298"/>
      <c r="D32" s="2299"/>
      <c r="E32" s="2676"/>
      <c r="F32" s="2821">
        <f t="shared" si="8"/>
        <v>0</v>
      </c>
      <c r="G32" s="2822"/>
      <c r="I32" s="2106">
        <f t="shared" si="7"/>
        <v>44230</v>
      </c>
      <c r="J32" s="1807">
        <f t="shared" si="5"/>
        <v>0</v>
      </c>
      <c r="K32" s="1806">
        <f t="shared" si="6"/>
        <v>0</v>
      </c>
      <c r="Q32" s="14"/>
      <c r="R32" s="5"/>
      <c r="S32" s="5"/>
      <c r="T32" s="5"/>
      <c r="U32" s="1878" t="s">
        <v>481</v>
      </c>
      <c r="V32" s="1879">
        <f>SUMIF(V28:V31,"&gt;0",V28:V31)</f>
        <v>0</v>
      </c>
      <c r="W32" s="1880" t="e">
        <f>U15+V15+F40+F41+F42+F39+AD76+AE76+AF76+R86+S86+T86+R93+S93+T93+N14</f>
        <v>#VALUE!</v>
      </c>
      <c r="X32" s="1881" t="e">
        <f>IF(V32=W32,"CERTO","errado")</f>
        <v>#VALUE!</v>
      </c>
      <c r="Y32" s="1881"/>
      <c r="Z32" s="1882"/>
    </row>
    <row r="33" spans="1:28" ht="19.5" customHeight="1" x14ac:dyDescent="0.2">
      <c r="B33" s="2286">
        <f>RESUMO!D49</f>
        <v>44199</v>
      </c>
      <c r="C33" s="2298"/>
      <c r="D33" s="2299"/>
      <c r="E33" s="2676"/>
      <c r="F33" s="2821">
        <f t="shared" si="8"/>
        <v>0</v>
      </c>
      <c r="G33" s="2822"/>
      <c r="I33" s="2106">
        <f t="shared" si="7"/>
        <v>44261</v>
      </c>
      <c r="J33" s="1807">
        <f t="shared" si="5"/>
        <v>0</v>
      </c>
      <c r="K33" s="1806">
        <f t="shared" si="6"/>
        <v>0</v>
      </c>
      <c r="N33" s="2051"/>
      <c r="O33" s="2051"/>
      <c r="P33" s="2051"/>
      <c r="Q33" s="14"/>
      <c r="R33" s="5"/>
      <c r="S33" s="5"/>
      <c r="T33" s="4"/>
      <c r="W33" s="14"/>
      <c r="X33" s="14"/>
      <c r="Y33" s="172"/>
      <c r="Z33" s="14"/>
      <c r="AA33" s="14"/>
      <c r="AB33" s="14"/>
    </row>
    <row r="34" spans="1:28" ht="18" customHeight="1" x14ac:dyDescent="0.2">
      <c r="B34" s="2286">
        <f>RESUMO!D50</f>
        <v>44230</v>
      </c>
      <c r="C34" s="2298"/>
      <c r="D34" s="2299"/>
      <c r="E34" s="2676"/>
      <c r="F34" s="2821">
        <f t="shared" si="8"/>
        <v>0</v>
      </c>
      <c r="G34" s="2822"/>
      <c r="I34" s="2106">
        <f t="shared" si="7"/>
        <v>44292</v>
      </c>
      <c r="J34" s="1807">
        <f t="shared" si="5"/>
        <v>0</v>
      </c>
      <c r="K34" s="1806">
        <f t="shared" si="6"/>
        <v>0</v>
      </c>
      <c r="N34" s="15"/>
      <c r="O34" s="15"/>
      <c r="P34" s="15"/>
      <c r="Q34" s="14"/>
      <c r="R34" s="5"/>
      <c r="S34" s="5"/>
      <c r="T34" s="4"/>
      <c r="Z34" s="56"/>
    </row>
    <row r="35" spans="1:28" ht="20.25" customHeight="1" x14ac:dyDescent="0.2">
      <c r="B35" s="2286">
        <f>RESUMO!D51</f>
        <v>44261</v>
      </c>
      <c r="C35" s="2298"/>
      <c r="D35" s="2299"/>
      <c r="E35" s="2676"/>
      <c r="F35" s="2821">
        <f t="shared" si="8"/>
        <v>0</v>
      </c>
      <c r="G35" s="2822"/>
      <c r="I35" s="2106">
        <f t="shared" si="7"/>
        <v>44323</v>
      </c>
      <c r="J35" s="1807">
        <f t="shared" si="5"/>
        <v>0</v>
      </c>
      <c r="K35" s="1806">
        <f t="shared" si="6"/>
        <v>0</v>
      </c>
      <c r="N35" s="15"/>
      <c r="O35" s="1973"/>
      <c r="P35" s="15"/>
      <c r="Q35" s="14"/>
      <c r="R35" s="5"/>
      <c r="S35" s="5"/>
      <c r="T35" s="4"/>
      <c r="Z35" s="56"/>
    </row>
    <row r="36" spans="1:28" ht="18.75" customHeight="1" x14ac:dyDescent="0.2">
      <c r="B36" s="2286">
        <f>RESUMO!D52</f>
        <v>44292</v>
      </c>
      <c r="C36" s="2298"/>
      <c r="D36" s="2299"/>
      <c r="E36" s="2676"/>
      <c r="F36" s="2821">
        <f t="shared" si="8"/>
        <v>0</v>
      </c>
      <c r="G36" s="2822"/>
      <c r="I36" s="2106">
        <f t="shared" si="7"/>
        <v>44354</v>
      </c>
      <c r="J36" s="1807">
        <f t="shared" si="5"/>
        <v>0</v>
      </c>
      <c r="K36" s="1806">
        <f t="shared" si="6"/>
        <v>0</v>
      </c>
      <c r="N36" s="15"/>
      <c r="O36" s="5"/>
      <c r="P36" s="15"/>
      <c r="Q36" s="14"/>
      <c r="R36" s="5"/>
      <c r="S36" s="5"/>
      <c r="T36" s="4"/>
      <c r="Z36" s="56"/>
    </row>
    <row r="37" spans="1:28" ht="18" customHeight="1" x14ac:dyDescent="0.2">
      <c r="B37" s="2286">
        <f>RESUMO!D53</f>
        <v>44323</v>
      </c>
      <c r="C37" s="2298"/>
      <c r="D37" s="2299"/>
      <c r="E37" s="2676"/>
      <c r="F37" s="2821">
        <f t="shared" si="8"/>
        <v>0</v>
      </c>
      <c r="G37" s="2822"/>
      <c r="N37" s="15"/>
      <c r="O37" s="5"/>
      <c r="P37" s="5"/>
      <c r="Q37" s="5"/>
      <c r="R37" s="5"/>
      <c r="S37" s="5"/>
      <c r="T37" s="4"/>
      <c r="Z37" s="56"/>
    </row>
    <row r="38" spans="1:28" ht="18.75" customHeight="1" thickBot="1" x14ac:dyDescent="0.25">
      <c r="B38" s="2291">
        <f>RESUMO!D54</f>
        <v>44354</v>
      </c>
      <c r="C38" s="2298"/>
      <c r="D38" s="2299"/>
      <c r="E38" s="2676"/>
      <c r="F38" s="2866">
        <f t="shared" si="8"/>
        <v>0</v>
      </c>
      <c r="G38" s="2867"/>
      <c r="N38" s="2051"/>
      <c r="O38" s="2051"/>
      <c r="P38" s="2051"/>
      <c r="Q38" s="5"/>
      <c r="R38" s="5"/>
      <c r="S38" s="5"/>
      <c r="T38" s="4"/>
      <c r="Z38" s="56"/>
    </row>
    <row r="39" spans="1:28" ht="24" customHeight="1" thickBot="1" x14ac:dyDescent="0.25">
      <c r="B39" s="2171" t="s">
        <v>82</v>
      </c>
      <c r="C39" s="2293">
        <f>SUM(C27:C38)</f>
        <v>0</v>
      </c>
      <c r="D39" s="2300"/>
      <c r="E39" s="2676"/>
      <c r="F39" s="2882">
        <f>SUM(F27:F38)</f>
        <v>0</v>
      </c>
      <c r="G39" s="2883"/>
      <c r="N39" s="5"/>
      <c r="O39" s="15"/>
      <c r="P39" s="15"/>
      <c r="Q39" s="5"/>
      <c r="R39" s="5"/>
      <c r="S39" s="5"/>
      <c r="T39" s="4"/>
      <c r="Z39" s="56"/>
    </row>
    <row r="40" spans="1:28" ht="19.5" customHeight="1" x14ac:dyDescent="0.2">
      <c r="B40" s="2292" t="s">
        <v>966</v>
      </c>
      <c r="C40" s="2314"/>
      <c r="D40" s="2301" t="str">
        <f>D26</f>
        <v/>
      </c>
      <c r="E40" s="2676"/>
      <c r="F40" s="2880" t="e">
        <f>C40*$D$40*12</f>
        <v>#VALUE!</v>
      </c>
      <c r="G40" s="2881"/>
      <c r="N40" s="1837"/>
      <c r="O40" s="5"/>
      <c r="P40" s="1109"/>
      <c r="Q40" s="5"/>
      <c r="R40" s="5"/>
      <c r="S40" s="5"/>
      <c r="T40" s="4"/>
      <c r="Z40" s="56"/>
    </row>
    <row r="41" spans="1:28" ht="19.5" customHeight="1" x14ac:dyDescent="0.2">
      <c r="B41" s="2288" t="s">
        <v>967</v>
      </c>
      <c r="C41" s="2314"/>
      <c r="D41" s="2302" t="str">
        <f>D26</f>
        <v/>
      </c>
      <c r="E41" s="2676"/>
      <c r="F41" s="2821" t="e">
        <f>C41*$D$40*12</f>
        <v>#VALUE!</v>
      </c>
      <c r="G41" s="2822"/>
      <c r="N41" s="1974"/>
      <c r="O41" s="15"/>
      <c r="P41" s="1975"/>
      <c r="Q41" s="5"/>
      <c r="S41" s="5"/>
      <c r="T41" s="4"/>
      <c r="Z41" s="56"/>
    </row>
    <row r="42" spans="1:28" ht="19.5" customHeight="1" thickBot="1" x14ac:dyDescent="0.25">
      <c r="B42" s="2289" t="s">
        <v>968</v>
      </c>
      <c r="C42" s="2314"/>
      <c r="D42" s="2303" t="str">
        <f>D26</f>
        <v/>
      </c>
      <c r="E42" s="2676"/>
      <c r="F42" s="2866" t="e">
        <f>C42*$D$40*12</f>
        <v>#VALUE!</v>
      </c>
      <c r="G42" s="2867"/>
      <c r="O42" s="5"/>
      <c r="P42" s="5"/>
      <c r="Q42" s="5"/>
      <c r="R42" s="5"/>
      <c r="S42" s="5"/>
      <c r="T42" s="4"/>
      <c r="Z42" s="56"/>
    </row>
    <row r="43" spans="1:28" ht="20.25" customHeight="1" thickBot="1" x14ac:dyDescent="0.25">
      <c r="B43" s="2290" t="s">
        <v>918</v>
      </c>
      <c r="C43" s="2287">
        <f>SUM(C39:C42)</f>
        <v>0</v>
      </c>
      <c r="D43" s="2304" t="str">
        <f>D26</f>
        <v/>
      </c>
      <c r="E43" s="2677"/>
      <c r="F43" s="2827" t="e">
        <f>SUM(F39:G42)</f>
        <v>#VALUE!</v>
      </c>
      <c r="G43" s="2828"/>
      <c r="O43" s="5"/>
      <c r="P43" s="5"/>
      <c r="Q43" s="5"/>
      <c r="R43" s="5"/>
      <c r="S43" s="5"/>
      <c r="T43" s="4"/>
      <c r="Z43" s="56"/>
    </row>
    <row r="44" spans="1:28" x14ac:dyDescent="0.2">
      <c r="A44" s="5"/>
      <c r="B44" s="5"/>
      <c r="C44" s="40"/>
      <c r="D44" s="5"/>
      <c r="E44" s="5"/>
      <c r="F44" s="5"/>
      <c r="G44" s="5"/>
      <c r="H44" s="5"/>
      <c r="N44" s="5"/>
      <c r="O44" s="5"/>
      <c r="P44" s="5"/>
      <c r="Q44" s="5"/>
      <c r="R44" s="5"/>
      <c r="S44" s="5"/>
      <c r="T44" s="4"/>
      <c r="Z44" s="56"/>
    </row>
    <row r="45" spans="1:28" ht="15.75" thickBot="1" x14ac:dyDescent="0.25">
      <c r="E45" s="5"/>
      <c r="F45" s="5"/>
      <c r="G45" s="5"/>
      <c r="H45" s="5"/>
      <c r="L45" s="5"/>
      <c r="M45" s="5"/>
      <c r="N45" s="5"/>
      <c r="O45" s="5"/>
      <c r="P45" s="5"/>
      <c r="Q45" s="5"/>
      <c r="R45" s="5"/>
      <c r="S45" s="5"/>
      <c r="T45" s="4"/>
      <c r="Z45" s="56"/>
    </row>
    <row r="46" spans="1:28" ht="36" customHeight="1" thickBot="1" x14ac:dyDescent="0.25">
      <c r="B46" s="2875" t="s">
        <v>894</v>
      </c>
      <c r="C46" s="2876"/>
      <c r="D46" s="2876"/>
      <c r="E46" s="2876"/>
      <c r="F46" s="2876"/>
      <c r="G46" s="2877"/>
      <c r="L46" s="5"/>
      <c r="M46" s="5"/>
      <c r="N46" s="5"/>
      <c r="O46" s="5"/>
      <c r="P46" s="5"/>
      <c r="Q46" s="5"/>
      <c r="R46" s="5"/>
      <c r="S46" s="5"/>
      <c r="T46" s="4"/>
      <c r="Z46" s="56"/>
    </row>
    <row r="47" spans="1:28" ht="28.5" customHeight="1" thickBot="1" x14ac:dyDescent="0.25">
      <c r="B47" s="2311"/>
      <c r="C47" s="2306" t="s">
        <v>863</v>
      </c>
      <c r="D47" s="2306" t="s">
        <v>864</v>
      </c>
      <c r="E47" s="2307"/>
      <c r="F47" s="2306" t="s">
        <v>865</v>
      </c>
      <c r="G47" s="2308" t="s">
        <v>866</v>
      </c>
      <c r="L47" s="5"/>
      <c r="M47" s="5"/>
      <c r="N47" s="5"/>
      <c r="O47" s="5"/>
      <c r="P47" s="5"/>
      <c r="Q47" s="5"/>
      <c r="R47" s="5"/>
      <c r="S47" s="5"/>
      <c r="T47" s="4"/>
      <c r="Z47" s="56"/>
    </row>
    <row r="48" spans="1:28" ht="27.75" customHeight="1" thickBot="1" x14ac:dyDescent="0.25">
      <c r="B48" s="2312" t="s">
        <v>1005</v>
      </c>
      <c r="C48" s="2309">
        <f>IF(SUM(C49:C60)=0,0,AVERAGE(C49:C60))</f>
        <v>3.0749999999999997</v>
      </c>
      <c r="D48" s="2309">
        <f>IF(SUM(D49:D60)=0,0,AVERAGE(D49:D60))</f>
        <v>3.3583333333333338</v>
      </c>
      <c r="E48" s="2678"/>
      <c r="F48" s="2310">
        <f>IF(SUM(F49:F60)=0,0,AVERAGE(F49:F60))</f>
        <v>428833.33333333331</v>
      </c>
      <c r="G48" s="2310">
        <f>IF(SUM(G49:G60)=0,0,AVERAGE(G49:G60))</f>
        <v>272166.66666666669</v>
      </c>
      <c r="I48" s="5"/>
      <c r="J48" s="5"/>
      <c r="K48" s="5"/>
      <c r="L48" s="5"/>
      <c r="M48" s="5"/>
      <c r="N48" s="5"/>
      <c r="O48" s="5"/>
      <c r="P48" s="5"/>
      <c r="Q48" s="5"/>
      <c r="R48" s="5"/>
      <c r="S48" s="5"/>
      <c r="T48" s="4"/>
      <c r="Z48" s="56"/>
    </row>
    <row r="49" spans="2:26" ht="21.75" customHeight="1" x14ac:dyDescent="0.2">
      <c r="B49" s="2286">
        <f>B27</f>
        <v>44013</v>
      </c>
      <c r="C49" s="2315">
        <v>3</v>
      </c>
      <c r="D49" s="2315">
        <v>3.5</v>
      </c>
      <c r="E49" s="2316"/>
      <c r="F49" s="2317">
        <v>480000</v>
      </c>
      <c r="G49" s="2318">
        <v>301000</v>
      </c>
      <c r="L49" s="5"/>
      <c r="M49" s="5"/>
      <c r="N49" s="5"/>
      <c r="O49" s="5"/>
      <c r="P49" s="5"/>
      <c r="Q49" s="5"/>
      <c r="R49" s="5"/>
      <c r="S49" s="5"/>
      <c r="T49" s="4"/>
      <c r="Z49" s="56"/>
    </row>
    <row r="50" spans="2:26" ht="21.75" customHeight="1" x14ac:dyDescent="0.2">
      <c r="B50" s="2286">
        <f>B28</f>
        <v>44044</v>
      </c>
      <c r="C50" s="2319">
        <v>3.1</v>
      </c>
      <c r="D50" s="2319">
        <v>3.4</v>
      </c>
      <c r="E50" s="2316"/>
      <c r="F50" s="2214">
        <v>501000</v>
      </c>
      <c r="G50" s="2320">
        <v>250000</v>
      </c>
      <c r="L50" s="5"/>
      <c r="M50" s="5"/>
      <c r="N50" s="5"/>
      <c r="O50" s="5"/>
      <c r="P50" s="5"/>
      <c r="Q50" s="5"/>
      <c r="R50" s="5"/>
      <c r="S50" s="5"/>
      <c r="T50" s="4"/>
      <c r="Z50" s="56"/>
    </row>
    <row r="51" spans="2:26" ht="21.75" customHeight="1" x14ac:dyDescent="0.2">
      <c r="B51" s="2286">
        <f t="shared" ref="B51:B60" si="9">B29</f>
        <v>44075</v>
      </c>
      <c r="C51" s="2319">
        <v>3</v>
      </c>
      <c r="D51" s="2319">
        <v>3.6</v>
      </c>
      <c r="E51" s="2316"/>
      <c r="F51" s="2214">
        <v>450000</v>
      </c>
      <c r="G51" s="2320">
        <v>240000</v>
      </c>
      <c r="L51" s="5"/>
      <c r="M51" s="5"/>
      <c r="N51" s="5"/>
      <c r="O51" s="5"/>
      <c r="P51" s="5"/>
      <c r="Q51" s="5"/>
      <c r="R51" s="5"/>
      <c r="S51" s="5"/>
      <c r="T51" s="4"/>
      <c r="Z51" s="56"/>
    </row>
    <row r="52" spans="2:26" ht="21.75" customHeight="1" x14ac:dyDescent="0.2">
      <c r="B52" s="2286">
        <f t="shared" si="9"/>
        <v>44106</v>
      </c>
      <c r="C52" s="2319">
        <v>2.8</v>
      </c>
      <c r="D52" s="2319">
        <v>3.4</v>
      </c>
      <c r="E52" s="2316"/>
      <c r="F52" s="2214">
        <v>440000</v>
      </c>
      <c r="G52" s="2320">
        <v>230000</v>
      </c>
      <c r="L52" s="5"/>
      <c r="M52" s="5"/>
      <c r="N52" s="5"/>
      <c r="O52" s="5"/>
      <c r="P52" s="5"/>
      <c r="Q52" s="5"/>
      <c r="R52" s="5"/>
      <c r="S52" s="5"/>
      <c r="T52" s="4"/>
      <c r="Z52" s="56"/>
    </row>
    <row r="53" spans="2:26" ht="21.75" customHeight="1" x14ac:dyDescent="0.2">
      <c r="B53" s="2286">
        <f t="shared" si="9"/>
        <v>44137</v>
      </c>
      <c r="C53" s="2319">
        <v>3.2</v>
      </c>
      <c r="D53" s="2319">
        <v>3.5</v>
      </c>
      <c r="E53" s="2316"/>
      <c r="F53" s="2214">
        <v>430000</v>
      </c>
      <c r="G53" s="2320">
        <v>250000</v>
      </c>
      <c r="L53" s="5"/>
      <c r="M53" s="5"/>
      <c r="N53" s="5"/>
      <c r="O53" s="5"/>
      <c r="P53" s="5"/>
      <c r="Q53" s="5"/>
      <c r="R53" s="5"/>
      <c r="S53" s="5"/>
      <c r="T53" s="4"/>
      <c r="Z53" s="56"/>
    </row>
    <row r="54" spans="2:26" ht="21.75" customHeight="1" x14ac:dyDescent="0.2">
      <c r="B54" s="2286">
        <f t="shared" si="9"/>
        <v>44168</v>
      </c>
      <c r="C54" s="2319">
        <v>3.3</v>
      </c>
      <c r="D54" s="2319">
        <v>3.1</v>
      </c>
      <c r="E54" s="2316"/>
      <c r="F54" s="2214">
        <v>505000</v>
      </c>
      <c r="G54" s="2320">
        <v>255000</v>
      </c>
      <c r="L54" s="5"/>
      <c r="M54" s="5"/>
      <c r="N54" s="5"/>
      <c r="O54" s="5"/>
      <c r="P54" s="5"/>
      <c r="Q54" s="5"/>
      <c r="R54" s="5"/>
      <c r="S54" s="5"/>
      <c r="T54" s="4"/>
      <c r="Z54" s="56"/>
    </row>
    <row r="55" spans="2:26" ht="21.75" customHeight="1" x14ac:dyDescent="0.2">
      <c r="B55" s="2286">
        <f t="shared" si="9"/>
        <v>44199</v>
      </c>
      <c r="C55" s="2319">
        <v>3</v>
      </c>
      <c r="D55" s="2319">
        <v>2.9</v>
      </c>
      <c r="E55" s="2316"/>
      <c r="F55" s="2214">
        <v>410000</v>
      </c>
      <c r="G55" s="2320">
        <v>275000</v>
      </c>
      <c r="L55" s="5"/>
      <c r="M55" s="5"/>
      <c r="N55" s="5"/>
      <c r="O55" s="5"/>
      <c r="P55" s="5"/>
      <c r="Q55" s="5"/>
      <c r="R55" s="5"/>
      <c r="S55" s="5"/>
      <c r="T55" s="4"/>
      <c r="Z55" s="56"/>
    </row>
    <row r="56" spans="2:26" ht="21.75" customHeight="1" x14ac:dyDescent="0.2">
      <c r="B56" s="2286">
        <f t="shared" si="9"/>
        <v>44230</v>
      </c>
      <c r="C56" s="2319">
        <v>3.1</v>
      </c>
      <c r="D56" s="2319">
        <v>3.1</v>
      </c>
      <c r="E56" s="2316"/>
      <c r="F56" s="2214">
        <v>400000</v>
      </c>
      <c r="G56" s="2320">
        <v>295000</v>
      </c>
      <c r="L56" s="5"/>
      <c r="M56" s="5"/>
      <c r="N56" s="5"/>
      <c r="O56" s="5"/>
      <c r="P56" s="5"/>
      <c r="Q56" s="5"/>
      <c r="R56" s="5"/>
      <c r="S56" s="5"/>
      <c r="T56" s="4"/>
      <c r="Z56" s="56"/>
    </row>
    <row r="57" spans="2:26" ht="21.75" customHeight="1" x14ac:dyDescent="0.2">
      <c r="B57" s="2286">
        <f t="shared" si="9"/>
        <v>44261</v>
      </c>
      <c r="C57" s="2319">
        <v>3.2</v>
      </c>
      <c r="D57" s="2319">
        <v>3.2</v>
      </c>
      <c r="E57" s="2316"/>
      <c r="F57" s="2214">
        <v>390000</v>
      </c>
      <c r="G57" s="2320">
        <v>305000</v>
      </c>
      <c r="L57" s="5"/>
      <c r="M57" s="5"/>
      <c r="N57" s="5"/>
      <c r="O57" s="5"/>
      <c r="P57" s="5"/>
      <c r="Q57" s="5"/>
      <c r="R57" s="5"/>
      <c r="S57" s="5"/>
      <c r="T57" s="4"/>
      <c r="Z57" s="56"/>
    </row>
    <row r="58" spans="2:26" ht="21.75" customHeight="1" x14ac:dyDescent="0.2">
      <c r="B58" s="2286">
        <f t="shared" si="9"/>
        <v>44292</v>
      </c>
      <c r="C58" s="2319">
        <v>2.9</v>
      </c>
      <c r="D58" s="2319">
        <v>3.5</v>
      </c>
      <c r="E58" s="2316"/>
      <c r="F58" s="2214">
        <v>380000</v>
      </c>
      <c r="G58" s="2320">
        <v>280000</v>
      </c>
      <c r="I58" s="5"/>
      <c r="J58" s="5"/>
      <c r="K58" s="5"/>
      <c r="L58" s="5"/>
      <c r="M58" s="5"/>
      <c r="N58" s="5"/>
      <c r="O58" s="5"/>
      <c r="P58" s="5"/>
      <c r="Q58" s="5"/>
      <c r="R58" s="5"/>
      <c r="S58" s="5"/>
      <c r="T58" s="4"/>
      <c r="Z58" s="56"/>
    </row>
    <row r="59" spans="2:26" ht="21.75" customHeight="1" x14ac:dyDescent="0.2">
      <c r="B59" s="2286">
        <f t="shared" si="9"/>
        <v>44323</v>
      </c>
      <c r="C59" s="2319">
        <v>3.1</v>
      </c>
      <c r="D59" s="2319">
        <v>3.6</v>
      </c>
      <c r="E59" s="2316"/>
      <c r="F59" s="2214">
        <v>370000</v>
      </c>
      <c r="G59" s="2320">
        <v>290000</v>
      </c>
      <c r="I59" s="5"/>
      <c r="J59" s="5"/>
      <c r="K59" s="5"/>
      <c r="L59" s="5"/>
      <c r="M59" s="5"/>
      <c r="N59" s="5"/>
      <c r="O59" s="5"/>
      <c r="P59" s="5"/>
      <c r="Q59" s="5"/>
      <c r="R59" s="5"/>
      <c r="S59" s="5"/>
      <c r="T59" s="4"/>
      <c r="Z59" s="56"/>
    </row>
    <row r="60" spans="2:26" ht="21.75" customHeight="1" thickBot="1" x14ac:dyDescent="0.25">
      <c r="B60" s="2313">
        <f t="shared" si="9"/>
        <v>44354</v>
      </c>
      <c r="C60" s="2321">
        <v>3.2</v>
      </c>
      <c r="D60" s="2321">
        <v>3.5</v>
      </c>
      <c r="E60" s="2322"/>
      <c r="F60" s="2323">
        <v>390000</v>
      </c>
      <c r="G60" s="2324">
        <v>295000</v>
      </c>
      <c r="I60" s="5"/>
      <c r="J60" s="5"/>
      <c r="K60" s="5"/>
      <c r="L60" s="5"/>
      <c r="M60" s="5"/>
      <c r="N60" s="5"/>
      <c r="O60" s="5"/>
      <c r="P60" s="5"/>
      <c r="Q60" s="5"/>
      <c r="R60" s="5"/>
      <c r="S60" s="5"/>
      <c r="T60" s="4"/>
      <c r="Z60" s="56"/>
    </row>
    <row r="61" spans="2:26" x14ac:dyDescent="0.2">
      <c r="E61" s="5"/>
      <c r="F61" s="5"/>
      <c r="G61" s="5"/>
      <c r="H61" s="5"/>
      <c r="I61" s="5"/>
      <c r="J61" s="5"/>
      <c r="K61" s="5"/>
      <c r="L61" s="5"/>
      <c r="M61" s="5"/>
      <c r="N61" s="5"/>
      <c r="O61" s="5"/>
      <c r="P61" s="5"/>
      <c r="Q61" s="5"/>
      <c r="R61" s="5"/>
      <c r="S61" s="5"/>
      <c r="T61" s="4"/>
      <c r="Z61" s="56"/>
    </row>
    <row r="62" spans="2:26" hidden="1" x14ac:dyDescent="0.2">
      <c r="E62" s="5"/>
      <c r="F62" s="5"/>
      <c r="G62" s="5"/>
      <c r="H62" s="5"/>
      <c r="I62" s="5"/>
      <c r="J62" s="5"/>
      <c r="K62" s="5"/>
      <c r="L62" s="5"/>
      <c r="M62" s="5"/>
      <c r="N62" s="5"/>
      <c r="O62" s="5"/>
      <c r="P62" s="5"/>
      <c r="Q62" s="5"/>
      <c r="R62" s="5"/>
      <c r="S62" s="5"/>
      <c r="T62" s="4"/>
      <c r="Z62" s="56"/>
    </row>
    <row r="63" spans="2:26" hidden="1" x14ac:dyDescent="0.2">
      <c r="B63" s="5"/>
      <c r="C63" s="40"/>
      <c r="D63" s="5"/>
      <c r="E63" s="5"/>
      <c r="F63" s="5"/>
      <c r="G63" s="5"/>
      <c r="H63" s="5"/>
      <c r="I63" s="5"/>
      <c r="J63" s="5"/>
      <c r="K63" s="5"/>
      <c r="L63" s="5"/>
      <c r="M63" s="5"/>
      <c r="N63" s="5"/>
      <c r="O63" s="5"/>
      <c r="P63" s="5"/>
      <c r="Q63" s="5"/>
      <c r="R63" s="5"/>
      <c r="S63" s="5"/>
      <c r="T63" s="4"/>
      <c r="Z63" s="56"/>
    </row>
    <row r="64" spans="2:26" ht="15.75" thickBot="1" x14ac:dyDescent="0.25">
      <c r="B64" s="10"/>
      <c r="C64" s="40"/>
      <c r="D64" s="5"/>
      <c r="E64" s="5"/>
      <c r="F64" s="41"/>
      <c r="G64" s="41"/>
      <c r="H64" s="5"/>
      <c r="I64" s="5"/>
      <c r="J64" s="5"/>
      <c r="K64" s="5"/>
      <c r="L64" s="5"/>
      <c r="M64" s="5"/>
      <c r="N64" s="5"/>
      <c r="O64" s="5"/>
      <c r="P64" s="5"/>
      <c r="Q64" s="5"/>
      <c r="R64" s="5"/>
      <c r="S64" s="5"/>
      <c r="T64" s="4"/>
      <c r="Z64" s="56"/>
    </row>
    <row r="65" spans="1:39" ht="36.75" customHeight="1" thickBot="1" x14ac:dyDescent="0.3">
      <c r="B65" s="2875" t="s">
        <v>1009</v>
      </c>
      <c r="C65" s="2876"/>
      <c r="D65" s="2876"/>
      <c r="E65" s="2876"/>
      <c r="F65" s="2876"/>
      <c r="G65" s="2876"/>
      <c r="H65" s="2876"/>
      <c r="I65" s="2876"/>
      <c r="J65" s="2876"/>
      <c r="K65" s="2877"/>
      <c r="Q65" s="14"/>
      <c r="S65" s="14"/>
      <c r="U65" s="1813"/>
      <c r="V65" s="24"/>
      <c r="W65" s="24"/>
      <c r="X65" s="24"/>
      <c r="Y65" s="24"/>
      <c r="Z65" s="5"/>
      <c r="AA65" s="5"/>
      <c r="AB65" s="5"/>
      <c r="AC65" s="14"/>
      <c r="AL65" s="1"/>
      <c r="AM65" s="1"/>
    </row>
    <row r="66" spans="1:39" ht="23.25" customHeight="1" thickBot="1" x14ac:dyDescent="0.3">
      <c r="B66" s="2888" t="s">
        <v>985</v>
      </c>
      <c r="C66" s="2878" t="s">
        <v>957</v>
      </c>
      <c r="D66" s="2886" t="s">
        <v>1011</v>
      </c>
      <c r="E66" s="2679"/>
      <c r="F66" s="2886" t="s">
        <v>958</v>
      </c>
      <c r="G66" s="2886" t="s">
        <v>1012</v>
      </c>
      <c r="H66" s="2886" t="s">
        <v>1013</v>
      </c>
      <c r="I66" s="2825" t="s">
        <v>895</v>
      </c>
      <c r="J66" s="2884" t="s">
        <v>71</v>
      </c>
      <c r="K66" s="2885"/>
      <c r="Q66" s="14"/>
      <c r="S66" s="14"/>
      <c r="U66" s="1813"/>
      <c r="V66" s="25"/>
      <c r="W66" s="25"/>
      <c r="X66" s="25"/>
      <c r="Y66" s="25"/>
      <c r="Z66" s="5"/>
      <c r="AA66" s="5"/>
      <c r="AB66" s="5"/>
      <c r="AC66" s="14"/>
      <c r="AL66" s="1"/>
      <c r="AM66" s="1"/>
    </row>
    <row r="67" spans="1:39" ht="62.25" customHeight="1" thickBot="1" x14ac:dyDescent="0.3">
      <c r="B67" s="2889"/>
      <c r="C67" s="2879"/>
      <c r="D67" s="2887"/>
      <c r="E67" s="2680"/>
      <c r="F67" s="2887"/>
      <c r="G67" s="2887"/>
      <c r="H67" s="2887"/>
      <c r="I67" s="2826"/>
      <c r="J67" s="2295" t="s">
        <v>859</v>
      </c>
      <c r="K67" s="2328" t="s">
        <v>1010</v>
      </c>
      <c r="M67" s="2325" t="s">
        <v>886</v>
      </c>
      <c r="N67" s="2326">
        <f>F39</f>
        <v>0</v>
      </c>
      <c r="Q67" s="14"/>
      <c r="S67" s="14"/>
      <c r="T67" s="1829"/>
      <c r="U67" s="1814"/>
      <c r="V67" s="352" t="s">
        <v>212</v>
      </c>
      <c r="W67" s="1819"/>
      <c r="X67" s="1819"/>
      <c r="Y67" s="1819"/>
      <c r="Z67" s="117" t="s">
        <v>68</v>
      </c>
      <c r="AA67" s="1119"/>
      <c r="AB67" s="1822"/>
      <c r="AC67" s="14"/>
      <c r="AD67" s="133" t="s">
        <v>142</v>
      </c>
      <c r="AE67" s="139" t="s">
        <v>144</v>
      </c>
      <c r="AF67" s="134" t="s">
        <v>143</v>
      </c>
      <c r="AL67" s="1"/>
      <c r="AM67" s="1"/>
    </row>
    <row r="68" spans="1:39" ht="21.75" customHeight="1" x14ac:dyDescent="0.25">
      <c r="B68" s="2335" t="s">
        <v>1006</v>
      </c>
      <c r="C68" s="2349">
        <v>3</v>
      </c>
      <c r="D68" s="2212">
        <v>1800</v>
      </c>
      <c r="E68" s="2350"/>
      <c r="F68" s="2351">
        <v>450</v>
      </c>
      <c r="G68" s="2331">
        <f t="shared" ref="G68:G74" si="10">IF(C68=0,"",C68*F68)</f>
        <v>1350</v>
      </c>
      <c r="H68" s="2332">
        <f t="shared" ref="H68:H74" si="11">IF(F68=0,"",D68/F68)</f>
        <v>4</v>
      </c>
      <c r="I68" s="2340">
        <f t="shared" ref="I68:I74" si="12">IF(C68=0,"",C68*D68)</f>
        <v>5400</v>
      </c>
      <c r="J68" s="2337">
        <f>IF(C68=0,"",G68-K68)</f>
        <v>1350</v>
      </c>
      <c r="K68" s="2128"/>
      <c r="M68" s="2325" t="s">
        <v>887</v>
      </c>
      <c r="N68" s="2326">
        <f>SUM(I68:I70)</f>
        <v>15200</v>
      </c>
      <c r="Q68" s="14"/>
      <c r="S68" s="14"/>
      <c r="T68" s="1302"/>
      <c r="U68" s="1302"/>
      <c r="V68" s="129">
        <f>J68+K68+T68</f>
        <v>1350</v>
      </c>
      <c r="W68" s="129"/>
      <c r="X68" s="129"/>
      <c r="Y68" s="129"/>
      <c r="Z68" s="118" t="str">
        <f>IF(J68+K68+T68=G68,"CERTO","ERRO")</f>
        <v>CERTO</v>
      </c>
      <c r="AA68" s="1120"/>
      <c r="AB68" s="1014"/>
      <c r="AC68" s="14"/>
      <c r="AD68" s="136">
        <f>J68*H$68</f>
        <v>5400</v>
      </c>
      <c r="AE68" s="136">
        <f>K68*$H$68</f>
        <v>0</v>
      </c>
      <c r="AF68" s="136">
        <f>T68*$H$68</f>
        <v>0</v>
      </c>
      <c r="AL68" s="1"/>
      <c r="AM68" s="1"/>
    </row>
    <row r="69" spans="1:39" ht="18.75" customHeight="1" x14ac:dyDescent="0.25">
      <c r="B69" s="2336" t="s">
        <v>1007</v>
      </c>
      <c r="C69" s="2352">
        <v>5</v>
      </c>
      <c r="D69" s="2215">
        <v>1400</v>
      </c>
      <c r="E69" s="2353"/>
      <c r="F69" s="2354">
        <v>350</v>
      </c>
      <c r="G69" s="2329">
        <f t="shared" si="10"/>
        <v>1750</v>
      </c>
      <c r="H69" s="2330">
        <f t="shared" si="11"/>
        <v>4</v>
      </c>
      <c r="I69" s="2341">
        <f t="shared" si="12"/>
        <v>7000</v>
      </c>
      <c r="J69" s="2338">
        <f t="shared" ref="J69:J74" si="13">IF(C69=0,"",G69-K69)</f>
        <v>1750</v>
      </c>
      <c r="K69" s="2135"/>
      <c r="Q69" s="14"/>
      <c r="S69" s="14"/>
      <c r="T69" s="1300"/>
      <c r="U69" s="1300"/>
      <c r="V69" s="129">
        <f>J69+K69+T69</f>
        <v>1750</v>
      </c>
      <c r="W69" s="129"/>
      <c r="X69" s="129"/>
      <c r="Y69" s="129"/>
      <c r="Z69" s="118" t="str">
        <f>IF(J69+K69+T69=G69,"CERTO","ERRO")</f>
        <v>CERTO</v>
      </c>
      <c r="AA69" s="1120"/>
      <c r="AB69" s="1014"/>
      <c r="AC69" s="14"/>
      <c r="AD69" s="136">
        <f>J69*H69</f>
        <v>7000</v>
      </c>
      <c r="AE69" s="136">
        <f>K69*H69</f>
        <v>0</v>
      </c>
      <c r="AF69" s="136">
        <f>T69*H69</f>
        <v>0</v>
      </c>
      <c r="AL69" s="1"/>
      <c r="AM69" s="1"/>
    </row>
    <row r="70" spans="1:39" ht="18.75" customHeight="1" x14ac:dyDescent="0.25">
      <c r="B70" s="2336" t="s">
        <v>1008</v>
      </c>
      <c r="C70" s="2352">
        <v>2</v>
      </c>
      <c r="D70" s="2215">
        <v>1400</v>
      </c>
      <c r="E70" s="2353"/>
      <c r="F70" s="2354">
        <v>350</v>
      </c>
      <c r="G70" s="2329">
        <f t="shared" si="10"/>
        <v>700</v>
      </c>
      <c r="H70" s="2330">
        <f t="shared" si="11"/>
        <v>4</v>
      </c>
      <c r="I70" s="2341">
        <f t="shared" si="12"/>
        <v>2800</v>
      </c>
      <c r="J70" s="2338">
        <f t="shared" si="13"/>
        <v>0</v>
      </c>
      <c r="K70" s="2135">
        <v>700</v>
      </c>
      <c r="Q70" s="14"/>
      <c r="S70" s="14"/>
      <c r="T70" s="1301"/>
      <c r="U70" s="1301"/>
      <c r="V70" s="129"/>
      <c r="W70" s="129"/>
      <c r="X70" s="129"/>
      <c r="Y70" s="129"/>
      <c r="Z70" s="118"/>
      <c r="AA70" s="1120"/>
      <c r="AB70" s="1014"/>
      <c r="AC70" s="14"/>
      <c r="AD70" s="136"/>
      <c r="AE70" s="141"/>
      <c r="AF70" s="141"/>
      <c r="AL70" s="1"/>
      <c r="AM70" s="1"/>
    </row>
    <row r="71" spans="1:39" ht="18.75" customHeight="1" x14ac:dyDescent="0.25">
      <c r="B71" s="2359"/>
      <c r="C71" s="2352"/>
      <c r="D71" s="2215"/>
      <c r="E71" s="2353"/>
      <c r="F71" s="2354"/>
      <c r="G71" s="2329" t="str">
        <f t="shared" si="10"/>
        <v/>
      </c>
      <c r="H71" s="2330" t="str">
        <f t="shared" si="11"/>
        <v/>
      </c>
      <c r="I71" s="2341" t="str">
        <f t="shared" si="12"/>
        <v/>
      </c>
      <c r="J71" s="2338" t="str">
        <f t="shared" si="13"/>
        <v/>
      </c>
      <c r="K71" s="2135"/>
      <c r="Q71" s="14"/>
      <c r="S71" s="14"/>
      <c r="T71" s="1301"/>
      <c r="U71" s="1301"/>
      <c r="V71" s="129"/>
      <c r="W71" s="129"/>
      <c r="X71" s="129"/>
      <c r="Y71" s="129"/>
      <c r="Z71" s="118"/>
      <c r="AA71" s="1120"/>
      <c r="AB71" s="1014"/>
      <c r="AC71" s="14"/>
      <c r="AD71" s="136"/>
      <c r="AE71" s="141"/>
      <c r="AF71" s="141"/>
      <c r="AL71" s="1"/>
      <c r="AM71" s="1"/>
    </row>
    <row r="72" spans="1:39" ht="18.75" customHeight="1" x14ac:dyDescent="0.25">
      <c r="B72" s="2359"/>
      <c r="C72" s="2352"/>
      <c r="D72" s="2215"/>
      <c r="E72" s="2353"/>
      <c r="F72" s="2354"/>
      <c r="G72" s="2329" t="str">
        <f t="shared" si="10"/>
        <v/>
      </c>
      <c r="H72" s="2330" t="str">
        <f t="shared" si="11"/>
        <v/>
      </c>
      <c r="I72" s="2341" t="str">
        <f t="shared" si="12"/>
        <v/>
      </c>
      <c r="J72" s="2338" t="str">
        <f t="shared" si="13"/>
        <v/>
      </c>
      <c r="K72" s="2135"/>
      <c r="Q72" s="14"/>
      <c r="S72" s="14"/>
      <c r="T72" s="1301"/>
      <c r="U72" s="1301"/>
      <c r="V72" s="129"/>
      <c r="W72" s="129"/>
      <c r="X72" s="129"/>
      <c r="Y72" s="129"/>
      <c r="Z72" s="118"/>
      <c r="AA72" s="1120"/>
      <c r="AB72" s="1014"/>
      <c r="AC72" s="14"/>
      <c r="AD72" s="136"/>
      <c r="AE72" s="141"/>
      <c r="AF72" s="141"/>
      <c r="AL72" s="1"/>
      <c r="AM72" s="1"/>
    </row>
    <row r="73" spans="1:39" ht="18.75" customHeight="1" x14ac:dyDescent="0.25">
      <c r="B73" s="2359"/>
      <c r="C73" s="2352"/>
      <c r="D73" s="2215"/>
      <c r="E73" s="2353"/>
      <c r="F73" s="2354"/>
      <c r="G73" s="2329" t="str">
        <f t="shared" si="10"/>
        <v/>
      </c>
      <c r="H73" s="2330" t="str">
        <f t="shared" si="11"/>
        <v/>
      </c>
      <c r="I73" s="2341" t="str">
        <f t="shared" si="12"/>
        <v/>
      </c>
      <c r="J73" s="2338" t="str">
        <f t="shared" si="13"/>
        <v/>
      </c>
      <c r="K73" s="2135"/>
      <c r="Q73" s="14"/>
      <c r="S73" s="14"/>
      <c r="T73" s="1301"/>
      <c r="U73" s="1301"/>
      <c r="V73" s="129"/>
      <c r="W73" s="129"/>
      <c r="X73" s="129"/>
      <c r="Y73" s="129"/>
      <c r="Z73" s="118"/>
      <c r="AA73" s="1120"/>
      <c r="AB73" s="1014"/>
      <c r="AC73" s="14"/>
      <c r="AD73" s="136"/>
      <c r="AE73" s="141"/>
      <c r="AF73" s="141"/>
      <c r="AL73" s="1"/>
      <c r="AM73" s="1"/>
    </row>
    <row r="74" spans="1:39" ht="18.75" customHeight="1" thickBot="1" x14ac:dyDescent="0.3">
      <c r="B74" s="2360"/>
      <c r="C74" s="2355"/>
      <c r="D74" s="2356"/>
      <c r="E74" s="2357"/>
      <c r="F74" s="2358"/>
      <c r="G74" s="2333" t="str">
        <f t="shared" si="10"/>
        <v/>
      </c>
      <c r="H74" s="2334" t="str">
        <f t="shared" si="11"/>
        <v/>
      </c>
      <c r="I74" s="2342" t="str">
        <f t="shared" si="12"/>
        <v/>
      </c>
      <c r="J74" s="2339" t="str">
        <f t="shared" si="13"/>
        <v/>
      </c>
      <c r="K74" s="2361"/>
      <c r="Q74" s="14"/>
      <c r="S74" s="14"/>
      <c r="T74" s="1301"/>
      <c r="U74" s="1301"/>
      <c r="V74" s="129"/>
      <c r="W74" s="129"/>
      <c r="X74" s="129"/>
      <c r="Y74" s="129"/>
      <c r="Z74" s="118"/>
      <c r="AA74" s="1120"/>
      <c r="AB74" s="1014"/>
      <c r="AC74" s="14"/>
      <c r="AD74" s="136"/>
      <c r="AE74" s="141"/>
      <c r="AF74" s="141"/>
      <c r="AL74" s="1"/>
      <c r="AM74" s="1"/>
    </row>
    <row r="75" spans="1:39" ht="19.5" hidden="1" customHeight="1" thickBot="1" x14ac:dyDescent="0.3">
      <c r="F75" s="14"/>
      <c r="I75" s="115"/>
      <c r="Q75" s="14"/>
      <c r="S75" s="14"/>
      <c r="T75" s="1301"/>
      <c r="U75" s="1301"/>
      <c r="V75" s="129">
        <f>J70+K70+T75</f>
        <v>700</v>
      </c>
      <c r="W75" s="129"/>
      <c r="X75" s="129"/>
      <c r="Y75" s="129"/>
      <c r="Z75" s="118" t="str">
        <f>IF(J70+K70+T75=G70,"CERTO","ERRO")</f>
        <v>CERTO</v>
      </c>
      <c r="AA75" s="1120"/>
      <c r="AB75" s="1118"/>
      <c r="AC75" s="14"/>
      <c r="AD75" s="136">
        <f>J70*H70</f>
        <v>0</v>
      </c>
      <c r="AE75" s="141">
        <f>K70*H70</f>
        <v>2800</v>
      </c>
      <c r="AF75" s="141">
        <f>T75*H70</f>
        <v>0</v>
      </c>
      <c r="AL75" s="1"/>
      <c r="AM75" s="1"/>
    </row>
    <row r="76" spans="1:39" ht="24.75" customHeight="1" thickBot="1" x14ac:dyDescent="0.3">
      <c r="B76" s="2347" t="s">
        <v>82</v>
      </c>
      <c r="C76" s="2312">
        <f>SUM(C68:C74)</f>
        <v>10</v>
      </c>
      <c r="D76" s="2363"/>
      <c r="E76" s="2363"/>
      <c r="F76" s="2362"/>
      <c r="G76" s="2343">
        <f>SUM(G68:G74)</f>
        <v>3800</v>
      </c>
      <c r="H76" s="2348"/>
      <c r="I76" s="2344">
        <f>SUMIF(I68:I74,"&gt;0,00011")</f>
        <v>15200</v>
      </c>
      <c r="J76" s="2345">
        <f>SUM(J68:J74)</f>
        <v>3100</v>
      </c>
      <c r="K76" s="2346">
        <f>SUM(K68:K74)</f>
        <v>700</v>
      </c>
      <c r="Q76" s="14"/>
      <c r="S76" s="14"/>
      <c r="T76" s="144">
        <f>SUM(T68:T75)</f>
        <v>0</v>
      </c>
      <c r="U76" s="1815"/>
      <c r="V76" s="129">
        <f>J76+K76+T76</f>
        <v>3800</v>
      </c>
      <c r="W76" s="129"/>
      <c r="X76" s="129"/>
      <c r="Y76" s="129"/>
      <c r="Z76" s="118" t="str">
        <f>IF(J76+K76+T76=G76,"CERTO","ERRO")</f>
        <v>CERTO</v>
      </c>
      <c r="AA76" s="1120"/>
      <c r="AB76" s="1118"/>
      <c r="AC76" s="14"/>
      <c r="AD76" s="1868">
        <f>SUM(AD68:AD75)</f>
        <v>12400</v>
      </c>
      <c r="AE76" s="1869">
        <f>SUM(AE68:AE75)</f>
        <v>2800</v>
      </c>
      <c r="AF76" s="1870">
        <f>SUM(AF68:AF75)</f>
        <v>0</v>
      </c>
      <c r="AL76" s="1"/>
      <c r="AM76" s="1"/>
    </row>
    <row r="77" spans="1:39" s="5" customFormat="1" ht="15.75" x14ac:dyDescent="0.25">
      <c r="B77" s="39"/>
      <c r="C77" s="39"/>
      <c r="D77" s="13"/>
      <c r="E77" s="145"/>
      <c r="F77" s="146"/>
      <c r="G77" s="128"/>
      <c r="H77" s="97"/>
      <c r="I77" s="13"/>
      <c r="J77" s="13"/>
      <c r="K77" s="13"/>
      <c r="U77" s="13"/>
      <c r="V77" s="13"/>
      <c r="W77" s="13"/>
    </row>
    <row r="78" spans="1:39" s="5" customFormat="1" ht="16.5" thickBot="1" x14ac:dyDescent="0.3">
      <c r="B78" s="39"/>
      <c r="C78" s="39"/>
      <c r="D78" s="13"/>
      <c r="E78" s="40"/>
      <c r="F78" s="40"/>
      <c r="G78" s="146"/>
      <c r="R78" s="143"/>
      <c r="Z78" s="56"/>
    </row>
    <row r="79" spans="1:39" ht="24.75" hidden="1" customHeight="1" thickBot="1" x14ac:dyDescent="0.3">
      <c r="A79" s="45"/>
      <c r="B79" s="2831" t="s">
        <v>638</v>
      </c>
      <c r="C79" s="2832"/>
      <c r="D79" s="2832"/>
      <c r="E79" s="2832"/>
      <c r="F79" s="2832"/>
      <c r="G79" s="2832"/>
      <c r="H79" s="2832"/>
      <c r="I79" s="2832"/>
      <c r="J79" s="2833"/>
      <c r="K79" s="1813"/>
      <c r="L79" s="147"/>
      <c r="M79" s="147"/>
      <c r="N79" s="147"/>
      <c r="O79" s="5"/>
      <c r="P79" s="5"/>
      <c r="Q79" s="5"/>
      <c r="R79" s="148"/>
      <c r="T79" s="115"/>
      <c r="Z79" s="56"/>
    </row>
    <row r="80" spans="1:39" ht="25.5" hidden="1" customHeight="1" thickBot="1" x14ac:dyDescent="0.3">
      <c r="A80" s="45"/>
      <c r="B80" s="2837" t="s">
        <v>213</v>
      </c>
      <c r="C80" s="2838"/>
      <c r="D80" s="2838"/>
      <c r="E80" s="2838"/>
      <c r="F80" s="2838"/>
      <c r="G80" s="2839"/>
      <c r="H80" s="2837" t="s">
        <v>71</v>
      </c>
      <c r="I80" s="2838"/>
      <c r="J80" s="2839"/>
      <c r="K80" s="1816"/>
      <c r="L80" s="39"/>
      <c r="M80" s="39"/>
      <c r="N80" s="39"/>
      <c r="O80" s="5"/>
      <c r="P80" s="5"/>
      <c r="Q80" s="5"/>
      <c r="R80" s="5"/>
      <c r="T80" s="115"/>
      <c r="Z80" s="56"/>
    </row>
    <row r="81" spans="1:26" ht="60.75" hidden="1" customHeight="1" thickBot="1" x14ac:dyDescent="0.3">
      <c r="A81" s="45"/>
      <c r="B81" s="2844" t="s">
        <v>62</v>
      </c>
      <c r="C81" s="2845"/>
      <c r="D81" s="46" t="s">
        <v>36</v>
      </c>
      <c r="E81" s="46" t="s">
        <v>63</v>
      </c>
      <c r="F81" s="47" t="s">
        <v>64</v>
      </c>
      <c r="G81" s="48" t="s">
        <v>65</v>
      </c>
      <c r="H81" s="137" t="s">
        <v>66</v>
      </c>
      <c r="I81" s="138" t="s">
        <v>67</v>
      </c>
      <c r="J81" s="149" t="s">
        <v>198</v>
      </c>
      <c r="K81" s="1817"/>
      <c r="L81" s="150"/>
      <c r="M81" s="150"/>
      <c r="N81" s="150"/>
      <c r="O81" s="1123" t="s">
        <v>68</v>
      </c>
      <c r="P81" s="1121"/>
      <c r="Q81" s="1014"/>
      <c r="R81" s="151" t="s">
        <v>142</v>
      </c>
      <c r="S81" s="139" t="s">
        <v>144</v>
      </c>
      <c r="T81" s="134" t="s">
        <v>143</v>
      </c>
      <c r="Z81" s="56"/>
    </row>
    <row r="82" spans="1:26" ht="21" hidden="1" customHeight="1" x14ac:dyDescent="0.25">
      <c r="B82" s="2823" t="s">
        <v>72</v>
      </c>
      <c r="C82" s="2824"/>
      <c r="D82" s="49" t="s">
        <v>69</v>
      </c>
      <c r="E82" s="1977"/>
      <c r="F82" s="1978"/>
      <c r="G82" s="157">
        <f>E82*F82</f>
        <v>0</v>
      </c>
      <c r="H82" s="1979"/>
      <c r="I82" s="1979"/>
      <c r="J82" s="1980"/>
      <c r="K82" s="1980"/>
      <c r="L82" s="132"/>
      <c r="M82" s="132"/>
      <c r="N82" s="132"/>
      <c r="O82" s="118" t="str">
        <f>IF(H82+I82+J82=E82,"CERTO","ERRO")</f>
        <v>CERTO</v>
      </c>
      <c r="P82" s="1120"/>
      <c r="Q82" s="1014"/>
      <c r="R82" s="140">
        <f>H82*F82</f>
        <v>0</v>
      </c>
      <c r="S82" s="136">
        <f>I82*F82</f>
        <v>0</v>
      </c>
      <c r="T82" s="136">
        <f>J82*F82</f>
        <v>0</v>
      </c>
      <c r="Z82" s="56"/>
    </row>
    <row r="83" spans="1:26" ht="19.5" hidden="1" customHeight="1" x14ac:dyDescent="0.25">
      <c r="B83" s="2836" t="s">
        <v>73</v>
      </c>
      <c r="C83" s="42" t="s">
        <v>74</v>
      </c>
      <c r="D83" s="43" t="s">
        <v>69</v>
      </c>
      <c r="E83" s="1977"/>
      <c r="F83" s="1978"/>
      <c r="G83" s="157">
        <f>E83*F83</f>
        <v>0</v>
      </c>
      <c r="H83" s="1979"/>
      <c r="I83" s="1979"/>
      <c r="J83" s="1300"/>
      <c r="K83" s="1300"/>
      <c r="L83" s="132"/>
      <c r="M83" s="132"/>
      <c r="N83" s="132"/>
      <c r="O83" s="118" t="str">
        <f>IF(H83+I83+J83=E83,"CERTO","ERRO")</f>
        <v>CERTO</v>
      </c>
      <c r="P83" s="1120"/>
      <c r="Q83" s="1014"/>
      <c r="R83" s="140">
        <f>H83*F83</f>
        <v>0</v>
      </c>
      <c r="S83" s="136">
        <f>I83*F83</f>
        <v>0</v>
      </c>
      <c r="T83" s="136">
        <f>J83*F83</f>
        <v>0</v>
      </c>
      <c r="Z83" s="56"/>
    </row>
    <row r="84" spans="1:26" ht="19.5" hidden="1" customHeight="1" x14ac:dyDescent="0.25">
      <c r="B84" s="2836"/>
      <c r="C84" s="42" t="s">
        <v>75</v>
      </c>
      <c r="D84" s="43" t="s">
        <v>76</v>
      </c>
      <c r="E84" s="1981"/>
      <c r="F84" s="1978"/>
      <c r="G84" s="157">
        <f>E84*F84</f>
        <v>0</v>
      </c>
      <c r="H84" s="1982"/>
      <c r="I84" s="1982"/>
      <c r="J84" s="1301"/>
      <c r="K84" s="1301"/>
      <c r="L84" s="132"/>
      <c r="M84" s="132"/>
      <c r="N84" s="132"/>
      <c r="O84" s="118" t="str">
        <f>IF(H84+I84+J84=E84,"CERTO","ERRO")</f>
        <v>CERTO</v>
      </c>
      <c r="P84" s="1120"/>
      <c r="Q84" s="1014"/>
      <c r="R84" s="140">
        <f>H84*F84</f>
        <v>0</v>
      </c>
      <c r="S84" s="136">
        <f>I84*F84</f>
        <v>0</v>
      </c>
      <c r="T84" s="136">
        <f>J84*F84</f>
        <v>0</v>
      </c>
      <c r="Z84" s="56"/>
    </row>
    <row r="85" spans="1:26" ht="15.75" hidden="1" x14ac:dyDescent="0.25">
      <c r="B85" s="2823" t="s">
        <v>162</v>
      </c>
      <c r="C85" s="2824"/>
      <c r="D85" s="43" t="s">
        <v>69</v>
      </c>
      <c r="E85" s="1981"/>
      <c r="F85" s="1978"/>
      <c r="G85" s="157">
        <f>E85*F85</f>
        <v>0</v>
      </c>
      <c r="H85" s="1982"/>
      <c r="I85" s="1982"/>
      <c r="J85" s="1301"/>
      <c r="K85" s="1301"/>
      <c r="L85" s="132"/>
      <c r="M85" s="132"/>
      <c r="N85" s="132"/>
      <c r="O85" s="118" t="str">
        <f>IF(H85+I85+J85=E85,"CERTO","ERRO")</f>
        <v>CERTO</v>
      </c>
      <c r="P85" s="1120"/>
      <c r="Q85" s="1118"/>
      <c r="R85" s="140">
        <f>H85*F85</f>
        <v>0</v>
      </c>
      <c r="S85" s="136">
        <f>I85*F85</f>
        <v>0</v>
      </c>
      <c r="T85" s="136">
        <f>J85*F85</f>
        <v>0</v>
      </c>
      <c r="Z85" s="56"/>
    </row>
    <row r="86" spans="1:26" ht="16.5" hidden="1" thickBot="1" x14ac:dyDescent="0.3">
      <c r="B86" s="16"/>
      <c r="C86" s="64"/>
      <c r="D86" s="64"/>
      <c r="E86" s="152">
        <f>SUM(E82:E85)</f>
        <v>0</v>
      </c>
      <c r="F86" s="153" t="s">
        <v>70</v>
      </c>
      <c r="G86" s="44">
        <f>SUMIF(G82:G85,"&gt;0,00011")</f>
        <v>0</v>
      </c>
      <c r="H86" s="55">
        <f>SUM(H82:H85)</f>
        <v>0</v>
      </c>
      <c r="I86" s="154">
        <f>SUM(I82:I85)</f>
        <v>0</v>
      </c>
      <c r="J86" s="155">
        <f>SUM(J82:J85)</f>
        <v>0</v>
      </c>
      <c r="K86" s="1818"/>
      <c r="L86" s="132"/>
      <c r="M86" s="132"/>
      <c r="N86" s="132"/>
      <c r="O86" s="118" t="str">
        <f>IF(H86+I86+J86=E86,"CERTO","ERRO")</f>
        <v>CERTO</v>
      </c>
      <c r="P86" s="1120"/>
      <c r="Q86" s="1118"/>
      <c r="R86" s="142">
        <f>SUM(R82:R85)</f>
        <v>0</v>
      </c>
      <c r="S86" s="156">
        <f>SUM(S82:S85)</f>
        <v>0</v>
      </c>
      <c r="T86" s="156">
        <f>SUM(T82:T85)</f>
        <v>0</v>
      </c>
      <c r="Z86" s="56"/>
    </row>
    <row r="87" spans="1:26" s="5" customFormat="1" ht="15.75" hidden="1" x14ac:dyDescent="0.25">
      <c r="G87" s="33"/>
      <c r="Z87" s="56"/>
    </row>
    <row r="88" spans="1:26" ht="27.75" hidden="1" customHeight="1" thickBot="1" x14ac:dyDescent="0.3">
      <c r="B88" s="2831" t="s">
        <v>214</v>
      </c>
      <c r="C88" s="2832"/>
      <c r="D88" s="2832"/>
      <c r="E88" s="2832"/>
      <c r="F88" s="2832"/>
      <c r="G88" s="2832"/>
      <c r="H88" s="2832"/>
      <c r="I88" s="2833"/>
      <c r="J88" s="24"/>
      <c r="K88" s="24"/>
      <c r="L88" s="39"/>
      <c r="M88" s="39"/>
      <c r="N88" s="39"/>
      <c r="O88" s="5"/>
      <c r="P88" s="5"/>
      <c r="Q88" s="5"/>
      <c r="R88" s="5"/>
      <c r="T88" s="115"/>
      <c r="Z88" s="56"/>
    </row>
    <row r="89" spans="1:26" ht="27.75" hidden="1" customHeight="1" thickBot="1" x14ac:dyDescent="0.3">
      <c r="B89" s="1275" t="s">
        <v>62</v>
      </c>
      <c r="C89" s="1276"/>
      <c r="D89" s="2840" t="s">
        <v>36</v>
      </c>
      <c r="E89" s="2840" t="s">
        <v>63</v>
      </c>
      <c r="F89" s="2842" t="s">
        <v>64</v>
      </c>
      <c r="G89" s="2842" t="s">
        <v>65</v>
      </c>
      <c r="H89" s="2831" t="s">
        <v>71</v>
      </c>
      <c r="I89" s="2833"/>
      <c r="J89" s="24"/>
      <c r="K89" s="24"/>
      <c r="L89" s="39"/>
      <c r="M89" s="39"/>
      <c r="N89" s="39"/>
      <c r="O89" s="5"/>
      <c r="P89" s="5"/>
      <c r="Q89" s="5"/>
      <c r="R89" s="5"/>
      <c r="T89" s="115"/>
      <c r="Z89" s="56"/>
    </row>
    <row r="90" spans="1:26" ht="53.45" hidden="1" customHeight="1" thickBot="1" x14ac:dyDescent="0.3">
      <c r="B90" s="1277"/>
      <c r="C90" s="1278"/>
      <c r="D90" s="2841"/>
      <c r="E90" s="2841"/>
      <c r="F90" s="2843"/>
      <c r="G90" s="2843"/>
      <c r="H90" s="158" t="s">
        <v>78</v>
      </c>
      <c r="I90" s="630" t="s">
        <v>79</v>
      </c>
      <c r="J90" s="551"/>
      <c r="K90" s="551"/>
      <c r="L90" s="150"/>
      <c r="M90" s="150"/>
      <c r="N90" s="150"/>
      <c r="O90" s="1122" t="s">
        <v>68</v>
      </c>
      <c r="P90" s="1014"/>
      <c r="Q90" s="1118"/>
      <c r="R90" s="151" t="s">
        <v>142</v>
      </c>
      <c r="S90" s="139" t="s">
        <v>144</v>
      </c>
      <c r="T90" s="134" t="s">
        <v>143</v>
      </c>
      <c r="Z90" s="56"/>
    </row>
    <row r="91" spans="1:26" ht="15.75" hidden="1" x14ac:dyDescent="0.25">
      <c r="B91" s="2834" t="s">
        <v>80</v>
      </c>
      <c r="C91" s="2835"/>
      <c r="D91" s="1983"/>
      <c r="E91" s="1984"/>
      <c r="F91" s="1984"/>
      <c r="G91" s="50">
        <f>E91*F91</f>
        <v>0</v>
      </c>
      <c r="H91" s="1979"/>
      <c r="I91" s="1980"/>
      <c r="J91" s="551"/>
      <c r="K91" s="551"/>
      <c r="L91" s="132"/>
      <c r="M91" s="132"/>
      <c r="N91" s="132"/>
      <c r="O91" s="131" t="str">
        <f>IF(H91+I91=E91,"CERTO","ERRO")</f>
        <v>CERTO</v>
      </c>
      <c r="P91" s="1014"/>
      <c r="Q91" s="1118"/>
      <c r="R91" s="140">
        <f>H91*F91</f>
        <v>0</v>
      </c>
      <c r="S91" s="136">
        <f>I91*F91</f>
        <v>0</v>
      </c>
      <c r="T91" s="136">
        <f>J91*F91</f>
        <v>0</v>
      </c>
      <c r="Z91" s="56"/>
    </row>
    <row r="92" spans="1:26" ht="15.75" hidden="1" x14ac:dyDescent="0.25">
      <c r="B92" s="2829" t="s">
        <v>81</v>
      </c>
      <c r="C92" s="2830"/>
      <c r="D92" s="1985"/>
      <c r="E92" s="1979"/>
      <c r="F92" s="1979"/>
      <c r="G92" s="51">
        <f>E92*F92</f>
        <v>0</v>
      </c>
      <c r="H92" s="1979"/>
      <c r="I92" s="1980"/>
      <c r="J92" s="551"/>
      <c r="K92" s="551"/>
      <c r="L92" s="132"/>
      <c r="M92" s="132"/>
      <c r="N92" s="132"/>
      <c r="O92" s="131" t="str">
        <f>IF(H92+I92=E92,"CERTO","ERRO")</f>
        <v>CERTO</v>
      </c>
      <c r="P92" s="1014"/>
      <c r="Q92" s="1118"/>
      <c r="R92" s="140">
        <f>H92*F92</f>
        <v>0</v>
      </c>
      <c r="S92" s="136">
        <f>I92*F92</f>
        <v>0</v>
      </c>
      <c r="T92" s="136">
        <f>J92*F92</f>
        <v>0</v>
      </c>
      <c r="Z92" s="56"/>
    </row>
    <row r="93" spans="1:26" ht="16.5" hidden="1" thickBot="1" x14ac:dyDescent="0.3">
      <c r="B93" s="18"/>
      <c r="C93" s="10"/>
      <c r="D93" s="10"/>
      <c r="E93" s="153">
        <f>SUM(E91:E92)</f>
        <v>0</v>
      </c>
      <c r="F93" s="55"/>
      <c r="G93" s="52">
        <f>SUM(G91:G92)</f>
        <v>0</v>
      </c>
      <c r="H93" s="52">
        <f>SUM(H91:H92)</f>
        <v>0</v>
      </c>
      <c r="I93" s="44">
        <f>SUM(I91:I92)</f>
        <v>0</v>
      </c>
      <c r="J93" s="551"/>
      <c r="K93" s="551"/>
      <c r="L93" s="132"/>
      <c r="M93" s="132"/>
      <c r="N93" s="132"/>
      <c r="O93" s="131" t="str">
        <f>IF(H93+I93=E93,"CERTO","ERRO")</f>
        <v>CERTO</v>
      </c>
      <c r="P93" s="1014"/>
      <c r="Q93" s="1118"/>
      <c r="R93" s="159">
        <f>SUM(R91:R92)</f>
        <v>0</v>
      </c>
      <c r="S93" s="160">
        <f>SUM(S91:S92)</f>
        <v>0</v>
      </c>
      <c r="T93" s="161">
        <f>SUM(T91:T92)</f>
        <v>0</v>
      </c>
      <c r="Z93" s="56"/>
    </row>
    <row r="94" spans="1:26" ht="15.75" hidden="1" x14ac:dyDescent="0.25">
      <c r="B94" s="3"/>
      <c r="C94" s="5"/>
      <c r="D94" s="5"/>
      <c r="E94" s="5"/>
      <c r="F94" s="5"/>
      <c r="G94" s="33"/>
      <c r="H94" s="5"/>
      <c r="I94" s="5"/>
      <c r="J94" s="5"/>
      <c r="K94" s="5"/>
      <c r="L94" s="130"/>
      <c r="M94" s="130"/>
      <c r="N94" s="130"/>
      <c r="O94" s="21"/>
      <c r="P94" s="21"/>
      <c r="Q94" s="21"/>
      <c r="R94" s="5"/>
      <c r="T94" s="115"/>
      <c r="Z94" s="56"/>
    </row>
    <row r="95" spans="1:26" ht="24.75" customHeight="1" thickBot="1" x14ac:dyDescent="0.3">
      <c r="B95" s="2813" t="s">
        <v>1049</v>
      </c>
      <c r="C95" s="2814"/>
      <c r="D95" s="2814"/>
      <c r="E95" s="2814"/>
      <c r="F95" s="2814"/>
      <c r="G95" s="2814"/>
      <c r="H95" s="2814"/>
      <c r="I95" s="2814"/>
      <c r="J95" s="2814"/>
      <c r="K95" s="2815"/>
      <c r="L95" s="1117"/>
      <c r="M95" s="1117"/>
      <c r="N95" s="1117"/>
      <c r="O95" s="21"/>
      <c r="P95" s="21"/>
      <c r="Q95" s="21"/>
      <c r="R95" s="5"/>
      <c r="S95" s="5"/>
      <c r="T95" s="4"/>
      <c r="Z95" s="56"/>
    </row>
    <row r="96" spans="1:26" ht="31.5" customHeight="1" x14ac:dyDescent="0.2">
      <c r="B96" s="2731"/>
      <c r="C96" s="2732"/>
      <c r="D96" s="2732"/>
      <c r="E96" s="2732"/>
      <c r="F96" s="2732"/>
      <c r="G96" s="2732"/>
      <c r="H96" s="2732"/>
      <c r="I96" s="2732"/>
      <c r="J96" s="2732"/>
      <c r="K96" s="2733"/>
      <c r="P96" s="5"/>
      <c r="Q96" s="5"/>
      <c r="R96" s="5"/>
      <c r="S96" s="5"/>
      <c r="T96" s="4"/>
      <c r="Z96" s="56"/>
    </row>
    <row r="97" spans="2:26" ht="33.6" customHeight="1" x14ac:dyDescent="0.2">
      <c r="B97" s="2734"/>
      <c r="C97" s="2735"/>
      <c r="D97" s="2735"/>
      <c r="E97" s="2735"/>
      <c r="F97" s="2735"/>
      <c r="G97" s="2735"/>
      <c r="H97" s="2735"/>
      <c r="I97" s="2735"/>
      <c r="J97" s="2735"/>
      <c r="K97" s="2736"/>
      <c r="P97" s="5"/>
      <c r="Q97" s="5"/>
      <c r="R97" s="5"/>
      <c r="S97" s="54"/>
      <c r="T97" s="4"/>
      <c r="Z97" s="56"/>
    </row>
    <row r="98" spans="2:26" ht="38.450000000000003" customHeight="1" x14ac:dyDescent="0.2">
      <c r="B98" s="2734"/>
      <c r="C98" s="2735"/>
      <c r="D98" s="2735"/>
      <c r="E98" s="2735"/>
      <c r="F98" s="2735"/>
      <c r="G98" s="2735"/>
      <c r="H98" s="2735"/>
      <c r="I98" s="2735"/>
      <c r="J98" s="2735"/>
      <c r="K98" s="2736"/>
      <c r="P98" s="28"/>
      <c r="Q98" s="28"/>
      <c r="R98" s="5"/>
      <c r="S98" s="5"/>
      <c r="T98" s="4"/>
      <c r="Z98" s="56"/>
    </row>
    <row r="99" spans="2:26" ht="27" customHeight="1" x14ac:dyDescent="0.2">
      <c r="B99" s="2734"/>
      <c r="C99" s="2735"/>
      <c r="D99" s="2735"/>
      <c r="E99" s="2735"/>
      <c r="F99" s="2735"/>
      <c r="G99" s="2735"/>
      <c r="H99" s="2735"/>
      <c r="I99" s="2735"/>
      <c r="J99" s="2735"/>
      <c r="K99" s="2736"/>
      <c r="P99" s="5"/>
      <c r="Q99" s="5"/>
      <c r="R99" s="5"/>
      <c r="S99" s="5"/>
      <c r="T99" s="4"/>
      <c r="Z99" s="56"/>
    </row>
    <row r="100" spans="2:26" ht="27.75" customHeight="1" x14ac:dyDescent="0.2">
      <c r="B100" s="2734"/>
      <c r="C100" s="2735"/>
      <c r="D100" s="2735"/>
      <c r="E100" s="2735"/>
      <c r="F100" s="2735"/>
      <c r="G100" s="2735"/>
      <c r="H100" s="2735"/>
      <c r="I100" s="2735"/>
      <c r="J100" s="2735"/>
      <c r="K100" s="2736"/>
      <c r="P100" s="5"/>
      <c r="Q100" s="5"/>
      <c r="R100" s="5"/>
      <c r="S100" s="5"/>
      <c r="T100" s="4"/>
      <c r="Z100" s="56"/>
    </row>
    <row r="101" spans="2:26" ht="36.6" customHeight="1" thickBot="1" x14ac:dyDescent="0.25">
      <c r="B101" s="2737"/>
      <c r="C101" s="2738"/>
      <c r="D101" s="2738"/>
      <c r="E101" s="2738"/>
      <c r="F101" s="2738"/>
      <c r="G101" s="2738"/>
      <c r="H101" s="2738"/>
      <c r="I101" s="2738"/>
      <c r="J101" s="2738"/>
      <c r="K101" s="2739"/>
      <c r="P101" s="5"/>
      <c r="Q101" s="5"/>
      <c r="R101" s="441"/>
      <c r="S101" s="5"/>
      <c r="T101" s="4"/>
      <c r="Z101" s="56"/>
    </row>
  </sheetData>
  <sheetProtection algorithmName="SHA-512" hashValue="ijng3o4GR8Dzbe4bFc4gr69QT7opZzb5eQg4QTvFWEkZL2dXEDiOMrjC1kB2fk/aaetXVPaFk6IRMn+plYwYYQ==" saltValue="jTVgNiT0OjKD+UgwsCIC4A==" spinCount="100000" sheet="1" objects="1" scenarios="1"/>
  <mergeCells count="69">
    <mergeCell ref="C66:C67"/>
    <mergeCell ref="B46:G46"/>
    <mergeCell ref="F32:G32"/>
    <mergeCell ref="F40:G40"/>
    <mergeCell ref="F35:G35"/>
    <mergeCell ref="F36:G36"/>
    <mergeCell ref="F42:G42"/>
    <mergeCell ref="B65:K65"/>
    <mergeCell ref="F39:G39"/>
    <mergeCell ref="F34:G34"/>
    <mergeCell ref="J66:K66"/>
    <mergeCell ref="H66:H67"/>
    <mergeCell ref="D66:D67"/>
    <mergeCell ref="G66:G67"/>
    <mergeCell ref="F66:F67"/>
    <mergeCell ref="B66:B67"/>
    <mergeCell ref="F31:G31"/>
    <mergeCell ref="F37:G37"/>
    <mergeCell ref="F38:G38"/>
    <mergeCell ref="B4:J4"/>
    <mergeCell ref="C17:C18"/>
    <mergeCell ref="B6:B7"/>
    <mergeCell ref="B24:G24"/>
    <mergeCell ref="F29:G29"/>
    <mergeCell ref="F30:G30"/>
    <mergeCell ref="C6:C7"/>
    <mergeCell ref="D6:D7"/>
    <mergeCell ref="B17:B18"/>
    <mergeCell ref="E6:E7"/>
    <mergeCell ref="M12:M13"/>
    <mergeCell ref="H6:J6"/>
    <mergeCell ref="D17:D18"/>
    <mergeCell ref="M6:N6"/>
    <mergeCell ref="M8:M9"/>
    <mergeCell ref="N12:N13"/>
    <mergeCell ref="N8:N9"/>
    <mergeCell ref="N10:N11"/>
    <mergeCell ref="M10:M11"/>
    <mergeCell ref="F6:F7"/>
    <mergeCell ref="G6:G7"/>
    <mergeCell ref="F17:J17"/>
    <mergeCell ref="L6:L7"/>
    <mergeCell ref="M14:M15"/>
    <mergeCell ref="N14:N15"/>
    <mergeCell ref="B85:C85"/>
    <mergeCell ref="H80:J80"/>
    <mergeCell ref="E89:E90"/>
    <mergeCell ref="F89:F90"/>
    <mergeCell ref="D89:D90"/>
    <mergeCell ref="H89:I89"/>
    <mergeCell ref="B80:G80"/>
    <mergeCell ref="G89:G90"/>
    <mergeCell ref="B81:C81"/>
    <mergeCell ref="B95:K95"/>
    <mergeCell ref="B96:K101"/>
    <mergeCell ref="F25:G25"/>
    <mergeCell ref="F26:G26"/>
    <mergeCell ref="F27:G27"/>
    <mergeCell ref="F28:G28"/>
    <mergeCell ref="B82:C82"/>
    <mergeCell ref="I66:I67"/>
    <mergeCell ref="F43:G43"/>
    <mergeCell ref="F33:G33"/>
    <mergeCell ref="F41:G41"/>
    <mergeCell ref="B92:C92"/>
    <mergeCell ref="B79:J79"/>
    <mergeCell ref="B91:C91"/>
    <mergeCell ref="B88:I88"/>
    <mergeCell ref="B83:B84"/>
  </mergeCells>
  <phoneticPr fontId="50" type="noConversion"/>
  <conditionalFormatting sqref="C48:D48 F48:G48">
    <cfRule type="cellIs" dxfId="24" priority="28" stopIfTrue="1" operator="lessThan">
      <formula>2.9</formula>
    </cfRule>
  </conditionalFormatting>
  <conditionalFormatting sqref="C49:C60">
    <cfRule type="cellIs" dxfId="23" priority="5" stopIfTrue="1" operator="lessThan">
      <formula>2.9</formula>
    </cfRule>
  </conditionalFormatting>
  <conditionalFormatting sqref="D49:D60">
    <cfRule type="cellIs" dxfId="22" priority="4" stopIfTrue="1" operator="lessThan">
      <formula>3</formula>
    </cfRule>
  </conditionalFormatting>
  <conditionalFormatting sqref="G49:G60">
    <cfRule type="cellIs" dxfId="21" priority="1" stopIfTrue="1" operator="greaterThan">
      <formula>300000</formula>
    </cfRule>
    <cfRule type="cellIs" dxfId="20" priority="3" stopIfTrue="1" operator="greaterThan">
      <formula>500000</formula>
    </cfRule>
  </conditionalFormatting>
  <conditionalFormatting sqref="F49:F60">
    <cfRule type="cellIs" dxfId="19" priority="2" stopIfTrue="1" operator="greaterThan">
      <formula>500000</formula>
    </cfRule>
  </conditionalFormatting>
  <pageMargins left="0.42" right="0.61" top="0.984251969" bottom="0.984251969" header="0.51" footer="0.49212598499999999"/>
  <pageSetup paperSize="9" scale="40" fitToHeight="2" orientation="portrait" r:id="rId1"/>
  <headerFooter alignWithMargins="0">
    <oddHeader>&amp;A</oddHeader>
    <oddFooter>Página &amp;P</oddFooter>
  </headerFooter>
  <ignoredErrors>
    <ignoredError sqref="E9:E13" unlockedFormula="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9">
    <tabColor rgb="FFFFFF00"/>
    <pageSetUpPr fitToPage="1"/>
  </sheetPr>
  <dimension ref="A1:BG98"/>
  <sheetViews>
    <sheetView showGridLines="0" zoomScaleNormal="100" workbookViewId="0">
      <selection activeCell="C40" sqref="C40:M41"/>
    </sheetView>
  </sheetViews>
  <sheetFormatPr defaultRowHeight="15" x14ac:dyDescent="0.2"/>
  <cols>
    <col min="1" max="1" width="2.5703125" style="1" customWidth="1"/>
    <col min="2" max="2" width="40.5703125" style="14" customWidth="1"/>
    <col min="3" max="3" width="16.7109375" style="14" customWidth="1"/>
    <col min="4" max="4" width="12.5703125" style="14" customWidth="1"/>
    <col min="5" max="5" width="15.85546875" style="14" customWidth="1"/>
    <col min="6" max="6" width="14.140625" style="1803" customWidth="1"/>
    <col min="7" max="9" width="11.5703125" style="14" customWidth="1"/>
    <col min="10" max="10" width="11.7109375" style="14" customWidth="1"/>
    <col min="11" max="11" width="13" style="14" customWidth="1"/>
    <col min="12" max="12" width="15.140625" style="14" customWidth="1"/>
    <col min="13" max="13" width="14.85546875" style="14" customWidth="1"/>
    <col min="14" max="14" width="15" style="14" customWidth="1"/>
    <col min="15" max="15" width="13" style="14" customWidth="1"/>
    <col min="16" max="16" width="13" style="14" hidden="1" customWidth="1"/>
    <col min="17" max="17" width="17.7109375" style="14" hidden="1" customWidth="1"/>
    <col min="18" max="18" width="13.140625" style="14" customWidth="1"/>
    <col min="19" max="22" width="9.140625" style="14" customWidth="1"/>
    <col min="23" max="23" width="12" style="14" customWidth="1"/>
    <col min="24" max="24" width="10" style="14" customWidth="1"/>
    <col min="25" max="25" width="12" style="14" customWidth="1"/>
    <col min="26" max="26" width="9.140625" style="14" customWidth="1"/>
    <col min="27" max="27" width="11" style="14" customWidth="1"/>
    <col min="28" max="30" width="9.140625" style="14" customWidth="1"/>
    <col min="31" max="31" width="11.5703125" style="14" customWidth="1"/>
    <col min="32" max="16384" width="9.140625" style="14"/>
  </cols>
  <sheetData>
    <row r="1" spans="2:24" ht="15.75" thickBot="1" x14ac:dyDescent="0.25"/>
    <row r="2" spans="2:24" ht="21" customHeight="1" thickBot="1" x14ac:dyDescent="0.25">
      <c r="B2" s="2002" t="str">
        <f>CADASTRO!C4</f>
        <v>Digitar o nome</v>
      </c>
      <c r="C2" s="2568" t="str">
        <f>CADASTRO!C6</f>
        <v>Digitar o município</v>
      </c>
      <c r="D2" s="1909"/>
      <c r="E2" s="2082">
        <f>CADASTRO!C12</f>
        <v>44013</v>
      </c>
      <c r="F2" s="2083">
        <f>CADASTRO!C14</f>
        <v>44377</v>
      </c>
      <c r="G2" s="5"/>
      <c r="H2" s="5"/>
      <c r="I2" s="5"/>
      <c r="J2" s="5"/>
      <c r="K2" s="5"/>
      <c r="L2" s="5"/>
      <c r="M2" s="5"/>
      <c r="N2" s="5"/>
      <c r="O2" s="5"/>
      <c r="P2" s="5"/>
      <c r="Q2" s="5"/>
    </row>
    <row r="3" spans="2:24" ht="6.75" customHeight="1" thickBot="1" x14ac:dyDescent="0.25">
      <c r="B3" s="1"/>
      <c r="C3" s="1"/>
      <c r="D3" s="1"/>
      <c r="E3" s="1"/>
      <c r="F3" s="1"/>
      <c r="G3" s="1"/>
      <c r="H3" s="5"/>
      <c r="I3" s="5"/>
      <c r="J3" s="5"/>
      <c r="K3" s="5"/>
      <c r="L3" s="5"/>
      <c r="M3" s="5"/>
      <c r="N3" s="5"/>
      <c r="O3" s="5"/>
      <c r="P3" s="5"/>
      <c r="Q3" s="5"/>
    </row>
    <row r="4" spans="2:24" ht="24" customHeight="1" thickBot="1" x14ac:dyDescent="0.25">
      <c r="B4" s="2803" t="s">
        <v>1014</v>
      </c>
      <c r="C4" s="2804"/>
      <c r="D4" s="2804"/>
      <c r="E4" s="2804"/>
      <c r="F4" s="2805"/>
      <c r="G4" s="5"/>
      <c r="H4" s="1110"/>
      <c r="I4" s="5"/>
      <c r="J4" s="5"/>
      <c r="K4" s="5"/>
      <c r="L4" s="5"/>
      <c r="M4" s="5"/>
      <c r="N4" s="5"/>
      <c r="O4" s="5"/>
      <c r="P4" s="5"/>
      <c r="Q4" s="5"/>
    </row>
    <row r="5" spans="2:24" ht="8.25" customHeight="1" thickBot="1" x14ac:dyDescent="0.25">
      <c r="B5" s="1"/>
      <c r="C5" s="1"/>
      <c r="D5" s="1"/>
      <c r="E5" s="1"/>
      <c r="F5" s="1804"/>
      <c r="G5" s="1"/>
      <c r="H5" s="1110"/>
      <c r="I5" s="1"/>
      <c r="J5" s="1"/>
      <c r="K5" s="1"/>
      <c r="L5" s="1"/>
      <c r="M5" s="1"/>
      <c r="N5" s="1"/>
      <c r="O5" s="1"/>
      <c r="P5" s="1"/>
      <c r="Q5" s="1"/>
      <c r="R5" s="1"/>
      <c r="S5" s="1"/>
    </row>
    <row r="6" spans="2:24" ht="24" customHeight="1" thickBot="1" x14ac:dyDescent="0.25">
      <c r="B6" s="2774" t="s">
        <v>792</v>
      </c>
      <c r="C6" s="2775"/>
      <c r="D6" s="2775"/>
      <c r="E6" s="2775"/>
      <c r="F6" s="2776"/>
      <c r="G6" s="1"/>
      <c r="H6" s="1110"/>
      <c r="I6" s="1"/>
      <c r="J6" s="1"/>
      <c r="K6" s="1"/>
      <c r="L6" s="1"/>
      <c r="M6" s="1"/>
      <c r="N6" s="1"/>
      <c r="O6" s="1"/>
      <c r="P6" s="1"/>
      <c r="Q6" s="1"/>
      <c r="R6" s="1"/>
      <c r="S6" s="1"/>
    </row>
    <row r="7" spans="2:24" s="172" customFormat="1" ht="4.5" hidden="1" customHeight="1" x14ac:dyDescent="0.25">
      <c r="B7" s="2101"/>
      <c r="C7" s="893"/>
      <c r="D7" s="893"/>
      <c r="E7" s="893"/>
      <c r="F7" s="2102"/>
      <c r="H7" s="2103"/>
    </row>
    <row r="8" spans="2:24" ht="31.5" customHeight="1" thickBot="1" x14ac:dyDescent="0.25">
      <c r="B8" s="2327" t="s">
        <v>103</v>
      </c>
      <c r="C8" s="2369" t="s">
        <v>104</v>
      </c>
      <c r="D8" s="2369" t="s">
        <v>105</v>
      </c>
      <c r="E8" s="2370" t="s">
        <v>106</v>
      </c>
      <c r="F8" s="2371" t="s">
        <v>411</v>
      </c>
      <c r="G8" s="1"/>
      <c r="H8" s="1110"/>
      <c r="I8" s="1"/>
      <c r="J8" s="1"/>
      <c r="K8" s="1"/>
      <c r="L8" s="1"/>
      <c r="M8" s="1"/>
      <c r="N8" s="1"/>
      <c r="O8" s="1"/>
      <c r="P8" s="1"/>
      <c r="Q8" s="1"/>
      <c r="R8" s="1"/>
      <c r="S8" s="1"/>
    </row>
    <row r="9" spans="2:24" x14ac:dyDescent="0.2">
      <c r="B9" s="1124" t="str">
        <f>CADASTRO!C4</f>
        <v>Digitar o nome</v>
      </c>
      <c r="C9" s="2571" t="s">
        <v>537</v>
      </c>
      <c r="D9" s="2365"/>
      <c r="E9" s="2365"/>
      <c r="F9" s="2367">
        <f>(IF((D9=10)+OR(D9=11)+OR(D9=12)+OR(D9=13),(0.5*E9),IF(((D9=14)+OR(D9=15)+OR(D9=16)+OR(D9=17)),(0.65*E9),IF(D9&lt;10,0,IF(D9&gt;=60,(0.75*E9),(1*E9))))))/100</f>
        <v>0</v>
      </c>
      <c r="G9" s="1"/>
      <c r="H9" s="1110"/>
      <c r="I9" s="1"/>
      <c r="J9" s="1"/>
      <c r="K9" s="1"/>
      <c r="L9" s="1"/>
      <c r="M9" s="1"/>
      <c r="N9" s="1"/>
      <c r="O9" s="1"/>
      <c r="P9" s="1"/>
      <c r="Q9" s="1"/>
      <c r="R9" s="1"/>
      <c r="S9" s="1"/>
    </row>
    <row r="10" spans="2:24" x14ac:dyDescent="0.2">
      <c r="B10" s="2364"/>
      <c r="C10" s="2572" t="s">
        <v>538</v>
      </c>
      <c r="D10" s="2366"/>
      <c r="E10" s="2366"/>
      <c r="F10" s="2367">
        <f t="shared" ref="F10:F17" si="0">(IF((D10=10)+OR(D10=11)+OR(D10=12)+OR(D10=13),(0.5*E10),IF(((D10=14)+OR(D10=15)+OR(D10=16)+OR(D10=17)),(0.65*E10),IF(D10&lt;10,0,IF(D10&gt;=60,(0.75*E10),(1*E10))))))/100</f>
        <v>0</v>
      </c>
      <c r="G10" s="1"/>
      <c r="H10" s="5"/>
      <c r="I10" s="1"/>
      <c r="J10" s="1"/>
      <c r="K10" s="1"/>
      <c r="L10" s="1"/>
      <c r="M10" s="1"/>
      <c r="N10" s="1"/>
      <c r="O10" s="1"/>
      <c r="P10" s="1"/>
      <c r="Q10" s="1"/>
      <c r="R10" s="1"/>
      <c r="S10" s="1"/>
    </row>
    <row r="11" spans="2:24" x14ac:dyDescent="0.2">
      <c r="B11" s="2364"/>
      <c r="C11" s="2572" t="s">
        <v>540</v>
      </c>
      <c r="D11" s="2366"/>
      <c r="E11" s="2366"/>
      <c r="F11" s="2367">
        <f t="shared" si="0"/>
        <v>0</v>
      </c>
      <c r="G11" s="1"/>
      <c r="H11" s="5"/>
      <c r="I11" s="1"/>
      <c r="J11" s="1"/>
      <c r="K11" s="1"/>
      <c r="L11" s="1"/>
      <c r="M11" s="1"/>
      <c r="N11" s="1"/>
      <c r="O11" s="1"/>
      <c r="P11" s="1"/>
      <c r="Q11" s="1"/>
      <c r="R11" s="1"/>
      <c r="S11" s="1"/>
      <c r="T11" s="1"/>
      <c r="U11" s="1"/>
      <c r="V11" s="1"/>
      <c r="W11" s="1"/>
      <c r="X11" s="1"/>
    </row>
    <row r="12" spans="2:24" x14ac:dyDescent="0.2">
      <c r="B12" s="2364"/>
      <c r="C12" s="2572" t="s">
        <v>541</v>
      </c>
      <c r="D12" s="2366"/>
      <c r="E12" s="2366"/>
      <c r="F12" s="2367">
        <f t="shared" si="0"/>
        <v>0</v>
      </c>
      <c r="G12" s="1"/>
      <c r="H12" s="5"/>
      <c r="I12" s="1"/>
      <c r="J12" s="1"/>
      <c r="K12" s="1"/>
      <c r="L12" s="1"/>
      <c r="M12" s="1"/>
      <c r="N12" s="1"/>
      <c r="O12" s="1"/>
      <c r="P12" s="1"/>
      <c r="Q12" s="1"/>
      <c r="R12" s="1"/>
      <c r="S12" s="1"/>
      <c r="T12" s="1"/>
      <c r="U12" s="1"/>
      <c r="V12" s="1"/>
      <c r="W12" s="1"/>
      <c r="X12" s="1"/>
    </row>
    <row r="13" spans="2:24" x14ac:dyDescent="0.2">
      <c r="B13" s="2364"/>
      <c r="C13" s="2572" t="s">
        <v>539</v>
      </c>
      <c r="D13" s="2366"/>
      <c r="E13" s="2366"/>
      <c r="F13" s="2367">
        <f t="shared" si="0"/>
        <v>0</v>
      </c>
      <c r="G13" s="1"/>
      <c r="H13" s="5"/>
      <c r="I13" s="1"/>
      <c r="J13" s="1"/>
      <c r="K13" s="1"/>
      <c r="L13" s="1"/>
      <c r="M13" s="1"/>
      <c r="N13" s="1"/>
      <c r="O13" s="1"/>
      <c r="P13" s="1"/>
      <c r="Q13" s="1"/>
      <c r="R13" s="1"/>
      <c r="S13" s="1"/>
      <c r="T13" s="1"/>
      <c r="U13" s="1"/>
      <c r="V13" s="1"/>
      <c r="W13" s="1"/>
      <c r="X13" s="1"/>
    </row>
    <row r="14" spans="2:24" x14ac:dyDescent="0.2">
      <c r="B14" s="2364"/>
      <c r="C14" s="2572" t="s">
        <v>539</v>
      </c>
      <c r="D14" s="2366"/>
      <c r="E14" s="2366"/>
      <c r="F14" s="2367">
        <f t="shared" si="0"/>
        <v>0</v>
      </c>
      <c r="G14" s="1"/>
      <c r="H14" s="5"/>
      <c r="I14" s="1"/>
      <c r="J14" s="1"/>
      <c r="K14" s="1"/>
      <c r="L14" s="1"/>
      <c r="M14" s="1"/>
      <c r="N14" s="1"/>
      <c r="O14" s="1"/>
      <c r="P14" s="1"/>
      <c r="Q14" s="1"/>
      <c r="R14" s="1"/>
      <c r="S14" s="1"/>
      <c r="T14" s="1"/>
      <c r="U14" s="1"/>
      <c r="V14" s="1"/>
      <c r="W14" s="1"/>
      <c r="X14" s="1"/>
    </row>
    <row r="15" spans="2:24" x14ac:dyDescent="0.2">
      <c r="B15" s="2364"/>
      <c r="C15" s="2572" t="s">
        <v>539</v>
      </c>
      <c r="D15" s="2366"/>
      <c r="E15" s="2366"/>
      <c r="F15" s="2367">
        <f t="shared" si="0"/>
        <v>0</v>
      </c>
      <c r="G15" s="1"/>
      <c r="H15" s="5"/>
      <c r="I15" s="1"/>
      <c r="J15" s="1"/>
      <c r="K15" s="1"/>
      <c r="L15" s="1125"/>
      <c r="M15" s="1"/>
      <c r="N15" s="1"/>
      <c r="O15" s="1"/>
      <c r="P15" s="1"/>
      <c r="Q15" s="1"/>
      <c r="R15" s="1"/>
      <c r="S15" s="1"/>
      <c r="T15" s="1"/>
      <c r="U15" s="1"/>
      <c r="V15" s="1"/>
      <c r="W15" s="1"/>
      <c r="X15" s="1"/>
    </row>
    <row r="16" spans="2:24" x14ac:dyDescent="0.2">
      <c r="B16" s="2364"/>
      <c r="C16" s="2572" t="s">
        <v>539</v>
      </c>
      <c r="D16" s="2366"/>
      <c r="E16" s="2366"/>
      <c r="F16" s="2367">
        <f t="shared" si="0"/>
        <v>0</v>
      </c>
      <c r="G16" s="1"/>
      <c r="H16" s="5"/>
      <c r="I16" s="1"/>
      <c r="J16" s="1"/>
      <c r="K16" s="1"/>
      <c r="L16" s="1"/>
      <c r="M16" s="1"/>
      <c r="N16" s="1"/>
      <c r="O16" s="1"/>
      <c r="P16" s="1"/>
      <c r="Q16" s="1"/>
      <c r="R16" s="1"/>
      <c r="S16" s="1"/>
      <c r="T16" s="1"/>
      <c r="U16" s="1"/>
      <c r="V16" s="1"/>
      <c r="W16" s="1"/>
      <c r="X16" s="1"/>
    </row>
    <row r="17" spans="2:24" ht="15.75" thickBot="1" x14ac:dyDescent="0.25">
      <c r="B17" s="2373"/>
      <c r="C17" s="2256" t="s">
        <v>916</v>
      </c>
      <c r="D17" s="2374"/>
      <c r="E17" s="2374"/>
      <c r="F17" s="2375">
        <f t="shared" si="0"/>
        <v>0</v>
      </c>
      <c r="G17" s="1"/>
      <c r="H17" s="5"/>
      <c r="I17" s="1"/>
      <c r="J17" s="1"/>
      <c r="K17" s="1"/>
      <c r="L17" s="1"/>
      <c r="M17" s="1"/>
      <c r="N17" s="1"/>
      <c r="O17" s="1"/>
      <c r="P17" s="1"/>
      <c r="Q17" s="1"/>
      <c r="R17" s="1"/>
      <c r="S17" s="1"/>
      <c r="T17" s="1"/>
      <c r="U17" s="1"/>
      <c r="V17" s="1"/>
      <c r="W17" s="1"/>
      <c r="X17" s="1"/>
    </row>
    <row r="18" spans="2:24" ht="26.25" customHeight="1" thickBot="1" x14ac:dyDescent="0.25">
      <c r="B18" s="16"/>
      <c r="C18" s="64"/>
      <c r="D18" s="64"/>
      <c r="E18" s="2372" t="s">
        <v>1015</v>
      </c>
      <c r="F18" s="1834">
        <f>SUMIF(F9:F17,"&gt;0",F9:F17)</f>
        <v>0</v>
      </c>
      <c r="G18" s="1"/>
      <c r="H18" s="5"/>
      <c r="I18" s="1"/>
      <c r="J18" s="1"/>
      <c r="K18" s="1"/>
      <c r="L18" s="1"/>
      <c r="M18" s="1"/>
      <c r="N18" s="1"/>
      <c r="O18" s="1"/>
      <c r="P18" s="1"/>
      <c r="Q18" s="1"/>
      <c r="R18" s="1"/>
      <c r="S18" s="1"/>
      <c r="T18" s="1"/>
      <c r="U18" s="1"/>
      <c r="V18" s="1"/>
      <c r="W18" s="1"/>
      <c r="X18" s="1"/>
    </row>
    <row r="19" spans="2:24" ht="21.75" customHeight="1" thickBot="1" x14ac:dyDescent="0.25">
      <c r="B19" s="2909" t="s">
        <v>1020</v>
      </c>
      <c r="C19" s="2910"/>
      <c r="D19" s="2910"/>
      <c r="E19" s="2911"/>
      <c r="F19" s="2368">
        <f>COUNTIF(D9:D17,"&gt;18")</f>
        <v>0</v>
      </c>
      <c r="G19" s="1"/>
      <c r="H19" s="1110"/>
      <c r="I19" s="1"/>
      <c r="J19" s="1"/>
      <c r="K19" s="1"/>
      <c r="L19" s="1"/>
      <c r="M19" s="1"/>
      <c r="N19" s="1"/>
      <c r="O19" s="1"/>
      <c r="P19" s="1"/>
      <c r="Q19" s="1"/>
      <c r="R19" s="1"/>
      <c r="S19" s="1"/>
      <c r="T19" s="1"/>
      <c r="U19" s="1"/>
      <c r="V19" s="1"/>
      <c r="W19" s="1"/>
      <c r="X19" s="1"/>
    </row>
    <row r="20" spans="2:24" ht="26.25" customHeight="1" thickBot="1" x14ac:dyDescent="0.25">
      <c r="B20" s="1"/>
      <c r="C20" s="1"/>
      <c r="D20" s="1"/>
      <c r="E20" s="1"/>
      <c r="F20" s="1804"/>
      <c r="G20" s="1"/>
      <c r="H20" s="1110"/>
      <c r="I20" s="1"/>
      <c r="J20" s="1"/>
      <c r="K20" s="1"/>
      <c r="L20" s="1"/>
      <c r="M20" s="1"/>
      <c r="N20" s="1"/>
      <c r="O20" s="1"/>
      <c r="P20" s="1"/>
      <c r="Q20" s="1"/>
      <c r="R20" s="1"/>
      <c r="S20" s="1"/>
      <c r="T20" s="1"/>
      <c r="U20" s="1"/>
      <c r="V20" s="1"/>
      <c r="W20" s="1"/>
      <c r="X20" s="1"/>
    </row>
    <row r="21" spans="2:24" ht="21" hidden="1" thickBot="1" x14ac:dyDescent="0.25">
      <c r="B21" s="2895" t="s">
        <v>204</v>
      </c>
      <c r="C21" s="2896"/>
      <c r="D21" s="2896"/>
      <c r="E21" s="2897"/>
      <c r="F21" s="1804"/>
      <c r="G21" s="1"/>
      <c r="H21" s="1110"/>
      <c r="I21" s="1"/>
      <c r="J21" s="1"/>
      <c r="K21" s="1"/>
      <c r="L21" s="1"/>
      <c r="M21" s="1"/>
      <c r="N21" s="1"/>
      <c r="O21" s="1"/>
      <c r="P21" s="1"/>
      <c r="Q21" s="1"/>
      <c r="R21" s="1"/>
      <c r="S21" s="1"/>
      <c r="T21" s="1"/>
      <c r="U21" s="1"/>
      <c r="V21" s="1"/>
      <c r="W21" s="1"/>
      <c r="X21" s="1"/>
    </row>
    <row r="22" spans="2:24" ht="35.25" hidden="1" customHeight="1" thickBot="1" x14ac:dyDescent="0.3">
      <c r="B22" s="1127" t="s">
        <v>103</v>
      </c>
      <c r="C22" s="1128" t="s">
        <v>107</v>
      </c>
      <c r="D22" s="47"/>
      <c r="E22" s="1128"/>
      <c r="F22" s="1804"/>
      <c r="G22" s="1"/>
      <c r="H22" s="1110"/>
      <c r="I22" s="1"/>
      <c r="J22" s="1"/>
      <c r="K22" s="1"/>
      <c r="L22" s="1"/>
      <c r="M22" s="1"/>
      <c r="N22" s="1"/>
      <c r="O22" s="1"/>
      <c r="P22" s="1"/>
      <c r="Q22" s="1"/>
      <c r="R22" s="1"/>
      <c r="S22" s="1"/>
      <c r="T22" s="1"/>
      <c r="U22" s="1"/>
      <c r="V22" s="1"/>
      <c r="W22" s="1"/>
      <c r="X22" s="1"/>
    </row>
    <row r="23" spans="2:24" hidden="1" x14ac:dyDescent="0.2">
      <c r="B23" s="2006"/>
      <c r="C23" s="2007"/>
      <c r="D23" s="2003"/>
      <c r="E23" s="1129">
        <f>(IF((D23=10)+OR(D23=11)+OR(D23=12)+OR(D23=13),(0.5*C23),IF(((D23=14)+OR(D23=15)+OR(D23=16)+OR(D23=17)),(0.65*C23),IF(D23&lt;10,0,IF(D23&gt;=60,(0.75*C23),(1*C23))))))/100</f>
        <v>0</v>
      </c>
      <c r="F23" s="1804"/>
      <c r="G23" s="1"/>
      <c r="H23" s="1110"/>
      <c r="I23" s="1"/>
      <c r="J23" s="1"/>
      <c r="K23" s="1"/>
      <c r="L23" s="1"/>
      <c r="M23" s="1"/>
      <c r="N23" s="1"/>
      <c r="O23" s="1"/>
      <c r="P23" s="1"/>
      <c r="Q23" s="1"/>
      <c r="R23" s="1"/>
      <c r="S23" s="1"/>
      <c r="T23" s="1"/>
      <c r="U23" s="1"/>
      <c r="V23" s="1"/>
      <c r="W23" s="1"/>
      <c r="X23" s="1"/>
    </row>
    <row r="24" spans="2:24" hidden="1" x14ac:dyDescent="0.2">
      <c r="B24" s="2004"/>
      <c r="C24" s="1980"/>
      <c r="D24" s="2005"/>
      <c r="E24" s="1130">
        <f>(IF((D24=10)+OR(D24=11)+OR(D24=12)+OR(D24=13),(0.5*C24),IF(((D24=14)+OR(D24=15)+OR(D24=16)+OR(D24=17)),(0.65*C24),IF(D24&lt;10,0,IF(D24&gt;=60,(0.75*C24),(1*C24))))))/100</f>
        <v>0</v>
      </c>
      <c r="F24" s="1804"/>
      <c r="G24" s="1"/>
      <c r="H24" s="1110"/>
      <c r="I24" s="1"/>
      <c r="J24" s="1"/>
      <c r="K24" s="1"/>
      <c r="L24" s="1"/>
      <c r="M24" s="1"/>
      <c r="N24" s="1"/>
      <c r="O24" s="1"/>
      <c r="P24" s="1"/>
      <c r="Q24" s="1"/>
      <c r="R24" s="1"/>
      <c r="S24" s="1"/>
      <c r="T24" s="1"/>
      <c r="U24" s="1"/>
      <c r="V24" s="1"/>
      <c r="W24" s="1"/>
      <c r="X24" s="1"/>
    </row>
    <row r="25" spans="2:24" hidden="1" x14ac:dyDescent="0.2">
      <c r="B25" s="2004"/>
      <c r="C25" s="1980"/>
      <c r="D25" s="2005"/>
      <c r="E25" s="1130">
        <f>(IF((D25=10)+OR(D25=11)+OR(D25=12)+OR(D25=13),(0.5*C25),IF(((D25=14)+OR(D25=15)+OR(D25=16)+OR(D25=17)),(0.65*C25),IF(D25&lt;10,0,IF(D25&gt;=60,(0.75*C25),(1*C25))))))/100</f>
        <v>0</v>
      </c>
      <c r="F25" s="1804"/>
      <c r="G25" s="1"/>
      <c r="H25" s="1110"/>
      <c r="I25" s="1"/>
      <c r="J25" s="1"/>
      <c r="K25" s="1"/>
      <c r="L25" s="1"/>
      <c r="M25" s="1"/>
      <c r="N25" s="1"/>
      <c r="O25" s="1"/>
      <c r="P25" s="1"/>
      <c r="Q25" s="1"/>
      <c r="R25" s="1"/>
      <c r="S25" s="1"/>
      <c r="T25" s="1"/>
      <c r="U25" s="1"/>
      <c r="V25" s="1"/>
      <c r="W25" s="1"/>
      <c r="X25" s="1"/>
    </row>
    <row r="26" spans="2:24" hidden="1" x14ac:dyDescent="0.2">
      <c r="B26" s="2004"/>
      <c r="C26" s="1980"/>
      <c r="D26" s="2005"/>
      <c r="E26" s="1130">
        <f>(IF((D26=10)+OR(D26=11)+OR(D26=12)+OR(D26=13),(0.5*C26),IF(((D26=14)+OR(D26=15)+OR(D26=16)+OR(D26=17)),(0.65*C26),IF(D26&lt;10,0,IF(D26&gt;=60,(0.75*C26),(1*C26))))))/100</f>
        <v>0</v>
      </c>
      <c r="F26" s="1804"/>
      <c r="G26" s="1"/>
      <c r="H26" s="1110"/>
      <c r="I26" s="1"/>
      <c r="J26" s="1"/>
      <c r="K26" s="1"/>
      <c r="L26" s="1"/>
      <c r="M26" s="1"/>
      <c r="N26" s="1"/>
      <c r="O26" s="1"/>
      <c r="P26" s="1"/>
      <c r="Q26" s="1"/>
      <c r="R26" s="1"/>
      <c r="S26" s="1"/>
      <c r="T26" s="1"/>
      <c r="U26" s="1"/>
      <c r="V26" s="1"/>
      <c r="W26" s="1"/>
      <c r="X26" s="1"/>
    </row>
    <row r="27" spans="2:24" ht="16.5" hidden="1" thickBot="1" x14ac:dyDescent="0.3">
      <c r="B27" s="16"/>
      <c r="C27" s="64"/>
      <c r="D27" s="64"/>
      <c r="E27" s="1126">
        <f>SUM(F23:F26)</f>
        <v>0</v>
      </c>
      <c r="F27" s="1804"/>
      <c r="G27" s="1"/>
      <c r="H27" s="1110"/>
      <c r="I27" s="1"/>
      <c r="J27" s="1"/>
      <c r="K27" s="1"/>
      <c r="L27" s="1"/>
      <c r="M27" s="1"/>
      <c r="N27" s="1"/>
      <c r="O27" s="1"/>
      <c r="P27" s="1"/>
      <c r="Q27" s="1"/>
      <c r="R27" s="1"/>
      <c r="S27" s="1"/>
      <c r="T27" s="1"/>
      <c r="U27" s="1"/>
      <c r="V27" s="1"/>
      <c r="W27" s="1"/>
      <c r="X27" s="1"/>
    </row>
    <row r="28" spans="2:24" ht="16.5" hidden="1" thickBot="1" x14ac:dyDescent="0.3">
      <c r="C28" s="1832" t="s">
        <v>232</v>
      </c>
      <c r="D28" s="1833"/>
      <c r="E28" s="1126">
        <f>F18+E27</f>
        <v>0</v>
      </c>
      <c r="F28" s="1804"/>
      <c r="G28" s="1"/>
      <c r="H28" s="1110"/>
      <c r="I28" s="1"/>
      <c r="J28" s="1"/>
      <c r="K28" s="1"/>
      <c r="L28" s="1"/>
      <c r="M28" s="1"/>
      <c r="N28" s="1"/>
      <c r="O28" s="1"/>
      <c r="P28" s="1"/>
      <c r="Q28" s="1"/>
      <c r="R28" s="1"/>
      <c r="S28" s="1"/>
      <c r="T28" s="1"/>
      <c r="U28" s="1"/>
      <c r="V28" s="1"/>
      <c r="W28" s="1"/>
      <c r="X28" s="1"/>
    </row>
    <row r="29" spans="2:24" ht="16.5" hidden="1" thickBot="1" x14ac:dyDescent="0.3">
      <c r="B29" s="1"/>
      <c r="C29" s="20"/>
      <c r="D29" s="1"/>
      <c r="E29" s="1"/>
      <c r="F29" s="1835"/>
      <c r="G29" s="1"/>
      <c r="H29" s="1110"/>
      <c r="I29" s="1"/>
      <c r="J29" s="1"/>
      <c r="K29" s="1"/>
      <c r="L29" s="1"/>
      <c r="M29" s="1"/>
      <c r="N29" s="1"/>
      <c r="O29" s="1"/>
      <c r="P29" s="1"/>
      <c r="Q29" s="1"/>
      <c r="R29" s="1"/>
      <c r="S29" s="1"/>
      <c r="T29" s="1"/>
      <c r="U29" s="1"/>
      <c r="V29" s="1"/>
      <c r="W29" s="1"/>
      <c r="X29" s="1"/>
    </row>
    <row r="30" spans="2:24" ht="27.75" customHeight="1" thickBot="1" x14ac:dyDescent="0.25">
      <c r="B30" s="2892" t="s">
        <v>108</v>
      </c>
      <c r="C30" s="2893"/>
      <c r="D30" s="2893"/>
      <c r="E30" s="2893"/>
      <c r="F30" s="2894"/>
      <c r="G30" s="1"/>
      <c r="H30" s="1110"/>
      <c r="I30" s="1"/>
      <c r="J30" s="1"/>
      <c r="K30" s="1"/>
      <c r="L30" s="1"/>
      <c r="M30" s="1"/>
      <c r="N30" s="1"/>
      <c r="O30" s="1"/>
      <c r="P30" s="1"/>
      <c r="Q30" s="1"/>
      <c r="R30" s="1"/>
      <c r="S30" s="1"/>
      <c r="T30" s="1"/>
      <c r="U30" s="1"/>
      <c r="V30" s="1"/>
      <c r="W30" s="1"/>
      <c r="X30" s="1"/>
    </row>
    <row r="31" spans="2:24" ht="36" customHeight="1" thickBot="1" x14ac:dyDescent="0.25">
      <c r="B31" s="2380" t="s">
        <v>927</v>
      </c>
      <c r="C31" s="2370" t="s">
        <v>110</v>
      </c>
      <c r="D31" s="2370" t="s">
        <v>1016</v>
      </c>
      <c r="E31" s="2370" t="s">
        <v>1019</v>
      </c>
      <c r="F31" s="2381" t="s">
        <v>1018</v>
      </c>
      <c r="G31" s="2898" t="s">
        <v>1017</v>
      </c>
      <c r="H31" s="2899"/>
      <c r="I31" s="2899"/>
      <c r="J31" s="2899"/>
      <c r="K31" s="2899"/>
      <c r="L31" s="2900"/>
      <c r="N31" s="1"/>
      <c r="O31" s="1"/>
      <c r="P31" s="1"/>
      <c r="Q31" s="1"/>
      <c r="R31" s="1"/>
      <c r="S31" s="1"/>
      <c r="T31" s="1"/>
      <c r="U31" s="5"/>
      <c r="V31" s="5"/>
      <c r="W31" s="5"/>
      <c r="X31" s="1"/>
    </row>
    <row r="32" spans="2:24" x14ac:dyDescent="0.2">
      <c r="B32" s="2377"/>
      <c r="C32" s="2365"/>
      <c r="D32" s="2365"/>
      <c r="E32" s="2378"/>
      <c r="F32" s="2376">
        <f>C32*E32</f>
        <v>0</v>
      </c>
      <c r="G32" s="2901"/>
      <c r="H32" s="2902"/>
      <c r="I32" s="2902"/>
      <c r="J32" s="2902"/>
      <c r="K32" s="2902"/>
      <c r="L32" s="2903"/>
      <c r="N32" s="1"/>
      <c r="O32" s="1"/>
      <c r="P32" s="1"/>
      <c r="Q32" s="1"/>
      <c r="R32" s="1"/>
      <c r="S32" s="1"/>
      <c r="T32" s="1"/>
      <c r="U32" s="5"/>
      <c r="V32" s="5"/>
      <c r="W32" s="5"/>
      <c r="X32" s="1"/>
    </row>
    <row r="33" spans="1:59" x14ac:dyDescent="0.2">
      <c r="B33" s="2364"/>
      <c r="C33" s="2366"/>
      <c r="D33" s="2366"/>
      <c r="E33" s="2379"/>
      <c r="F33" s="2376">
        <f>C33*E33</f>
        <v>0</v>
      </c>
      <c r="G33" s="2901"/>
      <c r="H33" s="2902"/>
      <c r="I33" s="2902"/>
      <c r="J33" s="2902"/>
      <c r="K33" s="2902"/>
      <c r="L33" s="2903"/>
      <c r="N33" s="1"/>
      <c r="O33" s="1"/>
      <c r="P33" s="1"/>
      <c r="Q33" s="1"/>
      <c r="R33" s="1"/>
      <c r="S33" s="1"/>
      <c r="T33" s="1"/>
      <c r="U33" s="5"/>
      <c r="V33" s="5"/>
      <c r="W33" s="5"/>
      <c r="X33" s="1"/>
    </row>
    <row r="34" spans="1:59" x14ac:dyDescent="0.2">
      <c r="B34" s="2364"/>
      <c r="C34" s="2366"/>
      <c r="D34" s="2366"/>
      <c r="E34" s="2379"/>
      <c r="F34" s="2376">
        <f>C34*E34</f>
        <v>0</v>
      </c>
      <c r="G34" s="2901"/>
      <c r="H34" s="2902"/>
      <c r="I34" s="2902"/>
      <c r="J34" s="2902"/>
      <c r="K34" s="2902"/>
      <c r="L34" s="2903"/>
      <c r="N34" s="1"/>
      <c r="O34" s="1"/>
      <c r="P34" s="1"/>
      <c r="Q34" s="1"/>
      <c r="R34" s="1"/>
      <c r="S34" s="1"/>
      <c r="T34" s="1"/>
      <c r="U34" s="5"/>
      <c r="V34" s="5"/>
      <c r="W34" s="5"/>
      <c r="X34" s="1"/>
    </row>
    <row r="35" spans="1:59" ht="15.75" thickBot="1" x14ac:dyDescent="0.25">
      <c r="B35" s="2373"/>
      <c r="C35" s="2374"/>
      <c r="D35" s="2374"/>
      <c r="E35" s="2382"/>
      <c r="F35" s="2383">
        <f>C35*E35</f>
        <v>0</v>
      </c>
      <c r="G35" s="2904"/>
      <c r="H35" s="2905"/>
      <c r="I35" s="2905"/>
      <c r="J35" s="2905"/>
      <c r="K35" s="2905"/>
      <c r="L35" s="2906"/>
      <c r="N35" s="1"/>
      <c r="O35" s="1"/>
      <c r="P35" s="1"/>
      <c r="Q35" s="1"/>
      <c r="R35" s="1"/>
      <c r="S35" s="1"/>
      <c r="T35" s="1"/>
      <c r="U35" s="5"/>
      <c r="V35" s="5"/>
      <c r="W35" s="5"/>
      <c r="X35" s="1"/>
    </row>
    <row r="36" spans="1:59" ht="20.25" customHeight="1" thickBot="1" x14ac:dyDescent="0.25">
      <c r="A36" s="5"/>
      <c r="B36" s="2385"/>
      <c r="C36" s="2175"/>
      <c r="D36" s="2176"/>
      <c r="E36" s="81" t="s">
        <v>434</v>
      </c>
      <c r="F36" s="2384">
        <f>SUMIF(F32:F35,"&gt;0",F32:F35)</f>
        <v>0</v>
      </c>
      <c r="G36" s="2907"/>
      <c r="H36" s="2908"/>
      <c r="I36" s="2908"/>
      <c r="J36" s="2908"/>
      <c r="K36" s="2908"/>
      <c r="L36" s="2908"/>
      <c r="M36" s="15"/>
      <c r="N36" s="1110"/>
      <c r="O36" s="1110"/>
      <c r="P36" s="1110"/>
      <c r="Q36" s="1110"/>
      <c r="R36" s="1110"/>
      <c r="S36" s="1"/>
      <c r="T36" s="1"/>
      <c r="U36" s="5"/>
      <c r="V36" s="5"/>
      <c r="W36" s="5"/>
      <c r="X36" s="1"/>
    </row>
    <row r="37" spans="1:59" ht="15.75" thickBot="1" x14ac:dyDescent="0.25">
      <c r="B37" s="15"/>
      <c r="C37" s="15"/>
      <c r="D37" s="15"/>
      <c r="E37" s="1131"/>
      <c r="F37" s="1836"/>
      <c r="G37" s="1"/>
      <c r="H37" s="1"/>
      <c r="I37" s="1"/>
      <c r="J37" s="1"/>
      <c r="K37" s="1"/>
      <c r="L37" s="1"/>
      <c r="M37" s="1"/>
      <c r="N37" s="1"/>
      <c r="O37" s="1"/>
      <c r="P37" s="5"/>
      <c r="Q37" s="5"/>
      <c r="R37" s="1110"/>
      <c r="S37" s="1"/>
      <c r="T37" s="1"/>
      <c r="U37" s="5"/>
      <c r="V37" s="5"/>
      <c r="W37" s="5"/>
    </row>
    <row r="38" spans="1:59" ht="34.5" customHeight="1" thickBot="1" x14ac:dyDescent="0.25">
      <c r="B38" s="2912" t="s">
        <v>1021</v>
      </c>
      <c r="C38" s="2913"/>
      <c r="D38" s="2913"/>
      <c r="E38" s="2913"/>
      <c r="F38" s="2913"/>
      <c r="G38" s="2913"/>
      <c r="H38" s="2913"/>
      <c r="I38" s="2913"/>
      <c r="J38" s="2913"/>
      <c r="K38" s="2913"/>
      <c r="L38" s="2913"/>
      <c r="M38" s="2913"/>
      <c r="N38" s="2913"/>
      <c r="O38" s="2914"/>
      <c r="P38" s="2890" t="s">
        <v>68</v>
      </c>
      <c r="Q38" s="2891"/>
      <c r="R38" s="1110"/>
      <c r="S38" s="1"/>
      <c r="T38" s="1"/>
      <c r="U38" s="5"/>
      <c r="V38" s="5"/>
      <c r="W38" s="5"/>
    </row>
    <row r="39" spans="1:59" ht="25.5" customHeight="1" thickBot="1" x14ac:dyDescent="0.25">
      <c r="B39" s="2394"/>
      <c r="C39" s="2370" t="str">
        <f>'C. MÁQ.'!C28</f>
        <v>LEITE</v>
      </c>
      <c r="D39" s="2370">
        <f>'C. MÁQ.'!D28</f>
        <v>0</v>
      </c>
      <c r="E39" s="2370">
        <f>'C. MÁQ.'!E28</f>
        <v>0</v>
      </c>
      <c r="F39" s="2370">
        <f>'C. MÁQ.'!F28</f>
        <v>0</v>
      </c>
      <c r="G39" s="2370">
        <f>'C. MÁQ.'!G28</f>
        <v>0</v>
      </c>
      <c r="H39" s="2370">
        <f>'C. MÁQ.'!H28</f>
        <v>0</v>
      </c>
      <c r="I39" s="2370">
        <f>'C. MÁQ.'!I28</f>
        <v>0</v>
      </c>
      <c r="J39" s="2370">
        <f>'C. MÁQ.'!J28</f>
        <v>0</v>
      </c>
      <c r="K39" s="2370">
        <f>'C. MÁQ.'!K28</f>
        <v>0</v>
      </c>
      <c r="L39" s="2370">
        <f>'C. MÁQ.'!L28</f>
        <v>0</v>
      </c>
      <c r="M39" s="2370">
        <f>'C. MÁQ.'!M28</f>
        <v>0</v>
      </c>
      <c r="N39" s="2370">
        <f>SOLO!G32</f>
        <v>0</v>
      </c>
      <c r="O39" s="2371" t="s">
        <v>294</v>
      </c>
      <c r="P39" s="2388" t="s">
        <v>208</v>
      </c>
      <c r="Q39" s="1132"/>
      <c r="R39" s="1110"/>
      <c r="S39" s="1"/>
      <c r="T39" s="1"/>
      <c r="U39" s="5"/>
      <c r="V39" s="5"/>
      <c r="W39" s="5"/>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row>
    <row r="40" spans="1:59" ht="15.75" x14ac:dyDescent="0.25">
      <c r="B40" s="2688">
        <f>B32</f>
        <v>0</v>
      </c>
      <c r="C40" s="2689"/>
      <c r="D40" s="2689"/>
      <c r="E40" s="2689"/>
      <c r="F40" s="2365"/>
      <c r="G40" s="2689"/>
      <c r="H40" s="2689"/>
      <c r="I40" s="2689"/>
      <c r="J40" s="2689"/>
      <c r="K40" s="2689"/>
      <c r="L40" s="2689"/>
      <c r="M40" s="2690"/>
      <c r="N40" s="2690"/>
      <c r="O40" s="2691"/>
      <c r="P40" s="2389">
        <f>SUM(C40:O40)</f>
        <v>0</v>
      </c>
      <c r="Q40" s="487" t="b">
        <f>IF(F32&gt;0,P40=100,IF(F32=0,P40=0))</f>
        <v>1</v>
      </c>
      <c r="R40" s="1110"/>
      <c r="S40" s="1"/>
      <c r="T40" s="1"/>
      <c r="U40" s="5"/>
      <c r="V40" s="54"/>
      <c r="W40" s="54"/>
      <c r="Y40" s="1133"/>
    </row>
    <row r="41" spans="1:59" ht="15.75" x14ac:dyDescent="0.25">
      <c r="B41" s="2692">
        <f>B33</f>
        <v>0</v>
      </c>
      <c r="C41" s="2366"/>
      <c r="D41" s="2366"/>
      <c r="E41" s="2366"/>
      <c r="F41" s="2366"/>
      <c r="G41" s="2366"/>
      <c r="H41" s="2366"/>
      <c r="I41" s="2366"/>
      <c r="J41" s="2366"/>
      <c r="K41" s="2366"/>
      <c r="L41" s="2366"/>
      <c r="M41" s="2366"/>
      <c r="N41" s="2366"/>
      <c r="O41" s="2135"/>
      <c r="P41" s="2389">
        <f>SUM(C41:O41)</f>
        <v>0</v>
      </c>
      <c r="Q41" s="487" t="b">
        <f>IF(F33&gt;0,P41=100,IF(F33=0,P41=0))</f>
        <v>1</v>
      </c>
      <c r="R41" s="1110"/>
      <c r="S41" s="1"/>
      <c r="T41" s="1"/>
      <c r="U41" s="5"/>
      <c r="V41" s="54"/>
      <c r="W41" s="54"/>
      <c r="Y41" s="1133"/>
    </row>
    <row r="42" spans="1:59" ht="15.75" x14ac:dyDescent="0.25">
      <c r="B42" s="2692">
        <f>B34</f>
        <v>0</v>
      </c>
      <c r="C42" s="2366"/>
      <c r="D42" s="2366"/>
      <c r="E42" s="2366"/>
      <c r="F42" s="2366"/>
      <c r="G42" s="2366"/>
      <c r="H42" s="2366"/>
      <c r="I42" s="2366"/>
      <c r="J42" s="2366"/>
      <c r="K42" s="2366"/>
      <c r="L42" s="2366"/>
      <c r="M42" s="2693"/>
      <c r="N42" s="2693"/>
      <c r="O42" s="2135"/>
      <c r="P42" s="2389">
        <f>SUM(C42:O42)</f>
        <v>0</v>
      </c>
      <c r="Q42" s="487" t="b">
        <f>IF(F34&gt;0,P42=100,IF(F34=0,P42=0))</f>
        <v>1</v>
      </c>
      <c r="R42" s="1110"/>
      <c r="S42" s="1"/>
      <c r="T42" s="1"/>
      <c r="U42" s="5"/>
      <c r="V42" s="54"/>
      <c r="W42" s="54"/>
      <c r="Y42" s="1133"/>
    </row>
    <row r="43" spans="1:59" ht="16.5" thickBot="1" x14ac:dyDescent="0.3">
      <c r="B43" s="2694">
        <f>B35</f>
        <v>0</v>
      </c>
      <c r="C43" s="2374"/>
      <c r="D43" s="2374"/>
      <c r="E43" s="2374"/>
      <c r="F43" s="2374"/>
      <c r="G43" s="2374"/>
      <c r="H43" s="2374"/>
      <c r="I43" s="2374"/>
      <c r="J43" s="2374"/>
      <c r="K43" s="2374"/>
      <c r="L43" s="2374"/>
      <c r="M43" s="2695"/>
      <c r="N43" s="2696"/>
      <c r="O43" s="2697"/>
      <c r="P43" s="2389">
        <f>SUM(C43:O43)</f>
        <v>0</v>
      </c>
      <c r="Q43" s="487" t="b">
        <f>IF(F35&gt;0,P43=100,IF(F35=0,P43=0))</f>
        <v>1</v>
      </c>
      <c r="R43" s="1110"/>
      <c r="S43" s="1"/>
      <c r="T43" s="1"/>
      <c r="U43" s="5"/>
      <c r="V43" s="54"/>
      <c r="W43" s="54"/>
      <c r="Y43" s="1133"/>
    </row>
    <row r="44" spans="1:59" ht="22.5" customHeight="1" thickBot="1" x14ac:dyDescent="0.25">
      <c r="B44" s="2393" t="s">
        <v>1022</v>
      </c>
      <c r="C44" s="2390">
        <f>C50</f>
        <v>0</v>
      </c>
      <c r="D44" s="2386">
        <f t="shared" ref="D44:O44" si="1">D50</f>
        <v>0</v>
      </c>
      <c r="E44" s="2386">
        <f t="shared" si="1"/>
        <v>0</v>
      </c>
      <c r="F44" s="2386">
        <f t="shared" si="1"/>
        <v>0</v>
      </c>
      <c r="G44" s="2386">
        <f t="shared" si="1"/>
        <v>0</v>
      </c>
      <c r="H44" s="2386">
        <f t="shared" si="1"/>
        <v>0</v>
      </c>
      <c r="I44" s="2386">
        <f t="shared" si="1"/>
        <v>0</v>
      </c>
      <c r="J44" s="2386">
        <f t="shared" si="1"/>
        <v>0</v>
      </c>
      <c r="K44" s="2386">
        <f t="shared" si="1"/>
        <v>0</v>
      </c>
      <c r="L44" s="2386">
        <f t="shared" si="1"/>
        <v>0</v>
      </c>
      <c r="M44" s="2386">
        <f t="shared" si="1"/>
        <v>0</v>
      </c>
      <c r="N44" s="2391">
        <f t="shared" si="1"/>
        <v>0</v>
      </c>
      <c r="O44" s="2392">
        <f t="shared" si="1"/>
        <v>0</v>
      </c>
      <c r="P44" s="2387">
        <f>SUM(C44:O44)</f>
        <v>0</v>
      </c>
      <c r="Q44" s="117" t="str">
        <f>IF(F36=P44,"CERTO","ERRADO")</f>
        <v>CERTO</v>
      </c>
      <c r="R44" s="1110"/>
      <c r="U44" s="5"/>
      <c r="V44" s="5"/>
      <c r="W44" s="5"/>
    </row>
    <row r="45" spans="1:59" hidden="1" x14ac:dyDescent="0.2">
      <c r="B45" s="2"/>
      <c r="C45" s="15"/>
      <c r="D45" s="15"/>
      <c r="E45" s="15"/>
      <c r="F45" s="1837"/>
      <c r="G45" s="15"/>
      <c r="H45" s="15"/>
      <c r="I45" s="15"/>
      <c r="J45" s="15"/>
      <c r="K45" s="15"/>
      <c r="L45" s="15"/>
      <c r="M45" s="15"/>
      <c r="N45" s="15"/>
      <c r="O45" s="15"/>
      <c r="P45" s="5"/>
      <c r="Q45" s="5"/>
      <c r="R45" s="1110" t="s">
        <v>207</v>
      </c>
      <c r="S45" s="1"/>
      <c r="T45" s="1"/>
      <c r="U45" s="5"/>
      <c r="V45" s="5"/>
      <c r="W45" s="5"/>
    </row>
    <row r="46" spans="1:59" ht="15.75" hidden="1" x14ac:dyDescent="0.25">
      <c r="B46" s="2"/>
      <c r="C46" s="1134">
        <f>(C40*$F32)/100</f>
        <v>0</v>
      </c>
      <c r="D46" s="1134">
        <f t="shared" ref="D46:O46" si="2">(D40*$F32)/100</f>
        <v>0</v>
      </c>
      <c r="E46" s="1134">
        <f t="shared" si="2"/>
        <v>0</v>
      </c>
      <c r="F46" s="1838">
        <f t="shared" si="2"/>
        <v>0</v>
      </c>
      <c r="G46" s="1134">
        <f t="shared" si="2"/>
        <v>0</v>
      </c>
      <c r="H46" s="1134">
        <f t="shared" si="2"/>
        <v>0</v>
      </c>
      <c r="I46" s="1134">
        <f t="shared" si="2"/>
        <v>0</v>
      </c>
      <c r="J46" s="1134">
        <f t="shared" si="2"/>
        <v>0</v>
      </c>
      <c r="K46" s="1134">
        <f t="shared" si="2"/>
        <v>0</v>
      </c>
      <c r="L46" s="1134">
        <f t="shared" si="2"/>
        <v>0</v>
      </c>
      <c r="M46" s="1134">
        <f t="shared" si="2"/>
        <v>0</v>
      </c>
      <c r="N46" s="1134">
        <f t="shared" ref="N46" si="3">(N40*$F32)/100</f>
        <v>0</v>
      </c>
      <c r="O46" s="1134">
        <f t="shared" si="2"/>
        <v>0</v>
      </c>
      <c r="P46" s="5"/>
      <c r="Q46" s="5"/>
      <c r="R46" s="1110" t="s">
        <v>207</v>
      </c>
      <c r="S46" s="1"/>
      <c r="T46" s="1"/>
      <c r="U46" s="5"/>
      <c r="V46" s="5"/>
      <c r="W46" s="5"/>
    </row>
    <row r="47" spans="1:59" ht="15.75" hidden="1" x14ac:dyDescent="0.25">
      <c r="B47" s="71"/>
      <c r="C47" s="1134">
        <f t="shared" ref="C47:O49" si="4">(C41*$F33)/100</f>
        <v>0</v>
      </c>
      <c r="D47" s="1134">
        <f t="shared" si="4"/>
        <v>0</v>
      </c>
      <c r="E47" s="1134">
        <f t="shared" si="4"/>
        <v>0</v>
      </c>
      <c r="F47" s="1838">
        <f t="shared" si="4"/>
        <v>0</v>
      </c>
      <c r="G47" s="1134">
        <f t="shared" si="4"/>
        <v>0</v>
      </c>
      <c r="H47" s="1134">
        <f t="shared" si="4"/>
        <v>0</v>
      </c>
      <c r="I47" s="1134">
        <f t="shared" si="4"/>
        <v>0</v>
      </c>
      <c r="J47" s="1134">
        <f t="shared" si="4"/>
        <v>0</v>
      </c>
      <c r="K47" s="1134">
        <f t="shared" si="4"/>
        <v>0</v>
      </c>
      <c r="L47" s="1134">
        <f t="shared" si="4"/>
        <v>0</v>
      </c>
      <c r="M47" s="1134">
        <f t="shared" si="4"/>
        <v>0</v>
      </c>
      <c r="N47" s="1134">
        <f t="shared" ref="N47" si="5">(N41*$F33)/100</f>
        <v>0</v>
      </c>
      <c r="O47" s="1134">
        <f t="shared" si="4"/>
        <v>0</v>
      </c>
      <c r="P47" s="25"/>
      <c r="Q47" s="25"/>
      <c r="R47" s="1110" t="s">
        <v>207</v>
      </c>
      <c r="S47" s="24"/>
      <c r="T47" s="1"/>
      <c r="U47" s="5"/>
      <c r="V47" s="5"/>
      <c r="W47" s="5"/>
      <c r="X47" s="1"/>
    </row>
    <row r="48" spans="1:59" ht="15.75" hidden="1" x14ac:dyDescent="0.25">
      <c r="B48" s="71"/>
      <c r="C48" s="1134">
        <f t="shared" si="4"/>
        <v>0</v>
      </c>
      <c r="D48" s="1134">
        <f t="shared" si="4"/>
        <v>0</v>
      </c>
      <c r="E48" s="1134">
        <f t="shared" si="4"/>
        <v>0</v>
      </c>
      <c r="F48" s="1838">
        <f t="shared" si="4"/>
        <v>0</v>
      </c>
      <c r="G48" s="1134">
        <f t="shared" si="4"/>
        <v>0</v>
      </c>
      <c r="H48" s="1134">
        <f t="shared" si="4"/>
        <v>0</v>
      </c>
      <c r="I48" s="1134">
        <f t="shared" si="4"/>
        <v>0</v>
      </c>
      <c r="J48" s="1134">
        <f t="shared" si="4"/>
        <v>0</v>
      </c>
      <c r="K48" s="1134">
        <f t="shared" si="4"/>
        <v>0</v>
      </c>
      <c r="L48" s="1134">
        <f t="shared" si="4"/>
        <v>0</v>
      </c>
      <c r="M48" s="1134">
        <f t="shared" si="4"/>
        <v>0</v>
      </c>
      <c r="N48" s="1134">
        <f t="shared" ref="N48" si="6">(N42*$F34)/100</f>
        <v>0</v>
      </c>
      <c r="O48" s="1134">
        <f t="shared" si="4"/>
        <v>0</v>
      </c>
      <c r="P48" s="25"/>
      <c r="Q48" s="25"/>
      <c r="R48" s="1110" t="s">
        <v>207</v>
      </c>
      <c r="S48" s="24"/>
      <c r="T48" s="1"/>
      <c r="U48" s="5"/>
      <c r="V48" s="5"/>
      <c r="W48" s="5"/>
      <c r="X48" s="1"/>
    </row>
    <row r="49" spans="2:24" ht="15.75" hidden="1" x14ac:dyDescent="0.25">
      <c r="B49" s="71"/>
      <c r="C49" s="1134">
        <f t="shared" si="4"/>
        <v>0</v>
      </c>
      <c r="D49" s="1134">
        <f t="shared" si="4"/>
        <v>0</v>
      </c>
      <c r="E49" s="1134">
        <f t="shared" si="4"/>
        <v>0</v>
      </c>
      <c r="F49" s="1838">
        <f t="shared" si="4"/>
        <v>0</v>
      </c>
      <c r="G49" s="1134">
        <f t="shared" si="4"/>
        <v>0</v>
      </c>
      <c r="H49" s="1134">
        <f t="shared" si="4"/>
        <v>0</v>
      </c>
      <c r="I49" s="1134">
        <f t="shared" si="4"/>
        <v>0</v>
      </c>
      <c r="J49" s="1134">
        <f t="shared" si="4"/>
        <v>0</v>
      </c>
      <c r="K49" s="1134">
        <f t="shared" si="4"/>
        <v>0</v>
      </c>
      <c r="L49" s="1134">
        <f t="shared" si="4"/>
        <v>0</v>
      </c>
      <c r="M49" s="1134">
        <f t="shared" si="4"/>
        <v>0</v>
      </c>
      <c r="N49" s="1134">
        <f t="shared" ref="N49" si="7">(N43*$F35)/100</f>
        <v>0</v>
      </c>
      <c r="O49" s="1134">
        <f t="shared" si="4"/>
        <v>0</v>
      </c>
      <c r="P49" s="25"/>
      <c r="Q49" s="25"/>
      <c r="R49" s="1110" t="s">
        <v>207</v>
      </c>
      <c r="S49" s="24"/>
      <c r="T49" s="1"/>
      <c r="U49" s="5"/>
      <c r="V49" s="5"/>
      <c r="W49" s="5"/>
      <c r="X49" s="1"/>
    </row>
    <row r="50" spans="2:24" ht="16.5" hidden="1" thickBot="1" x14ac:dyDescent="0.3">
      <c r="B50" s="594"/>
      <c r="C50" s="1135">
        <f>SUMIF(C46:C49,"&gt;0",C46:C49)</f>
        <v>0</v>
      </c>
      <c r="D50" s="1135">
        <f t="shared" ref="D50:O50" si="8">SUMIF(D46:D49,"&gt;0",D46:D49)</f>
        <v>0</v>
      </c>
      <c r="E50" s="1135">
        <f t="shared" si="8"/>
        <v>0</v>
      </c>
      <c r="F50" s="1839">
        <f t="shared" si="8"/>
        <v>0</v>
      </c>
      <c r="G50" s="1135">
        <f t="shared" si="8"/>
        <v>0</v>
      </c>
      <c r="H50" s="1135">
        <f t="shared" si="8"/>
        <v>0</v>
      </c>
      <c r="I50" s="1135">
        <f t="shared" si="8"/>
        <v>0</v>
      </c>
      <c r="J50" s="1135">
        <f t="shared" si="8"/>
        <v>0</v>
      </c>
      <c r="K50" s="1135">
        <f t="shared" si="8"/>
        <v>0</v>
      </c>
      <c r="L50" s="1135">
        <f t="shared" si="8"/>
        <v>0</v>
      </c>
      <c r="M50" s="1135">
        <f t="shared" si="8"/>
        <v>0</v>
      </c>
      <c r="N50" s="1135">
        <f t="shared" ref="N50" si="9">SUMIF(N46:N49,"&gt;0",N46:N49)</f>
        <v>0</v>
      </c>
      <c r="O50" s="1135">
        <f t="shared" si="8"/>
        <v>0</v>
      </c>
      <c r="P50" s="502">
        <f>SUM(C50:O50)</f>
        <v>0</v>
      </c>
      <c r="Q50" s="25"/>
      <c r="R50" s="1110" t="s">
        <v>207</v>
      </c>
      <c r="S50" s="24"/>
      <c r="T50" s="1"/>
      <c r="U50" s="5"/>
      <c r="V50" s="5"/>
      <c r="W50" s="5"/>
      <c r="X50" s="1"/>
    </row>
    <row r="51" spans="2:24" ht="15.75" hidden="1" customHeight="1" x14ac:dyDescent="0.25">
      <c r="B51" s="24"/>
      <c r="C51" s="1136"/>
      <c r="D51" s="1136"/>
      <c r="E51" s="1136"/>
      <c r="F51" s="1840"/>
      <c r="G51" s="1136"/>
      <c r="H51" s="1136"/>
      <c r="I51" s="1136"/>
      <c r="J51" s="1136"/>
      <c r="K51" s="1136"/>
      <c r="L51" s="1136"/>
      <c r="M51" s="1136"/>
      <c r="N51" s="1136"/>
      <c r="O51" s="1136"/>
      <c r="P51" s="1137">
        <f>P50-F36</f>
        <v>0</v>
      </c>
      <c r="Q51" s="25"/>
      <c r="R51" s="1110" t="s">
        <v>207</v>
      </c>
      <c r="S51" s="24"/>
      <c r="T51" s="1"/>
      <c r="U51" s="5"/>
      <c r="V51" s="5"/>
      <c r="W51" s="5"/>
      <c r="X51" s="1"/>
    </row>
    <row r="52" spans="2:24" s="5" customFormat="1" ht="15.75" hidden="1" customHeight="1" x14ac:dyDescent="0.25">
      <c r="B52" s="25"/>
      <c r="C52" s="21"/>
      <c r="D52" s="21"/>
      <c r="E52" s="21"/>
      <c r="F52" s="1841"/>
      <c r="G52" s="21"/>
      <c r="H52" s="21"/>
      <c r="I52" s="21"/>
      <c r="J52" s="21"/>
      <c r="K52" s="21"/>
      <c r="L52" s="21"/>
      <c r="M52" s="21"/>
      <c r="N52" s="21"/>
      <c r="O52" s="21"/>
      <c r="P52" s="25"/>
      <c r="Q52" s="25"/>
      <c r="R52" s="1110" t="s">
        <v>207</v>
      </c>
      <c r="S52" s="25"/>
    </row>
    <row r="53" spans="2:24" s="5" customFormat="1" ht="15.75" hidden="1" customHeight="1" x14ac:dyDescent="0.25">
      <c r="B53" s="25"/>
      <c r="C53" s="21"/>
      <c r="D53" s="21"/>
      <c r="E53" s="21"/>
      <c r="F53" s="1841"/>
      <c r="G53" s="21"/>
      <c r="H53" s="21"/>
      <c r="I53" s="21"/>
      <c r="J53" s="21"/>
      <c r="K53" s="21"/>
      <c r="L53" s="21"/>
      <c r="M53" s="21"/>
      <c r="N53" s="21"/>
      <c r="O53" s="21"/>
      <c r="P53" s="25"/>
      <c r="Q53" s="25"/>
      <c r="R53" s="1110" t="s">
        <v>207</v>
      </c>
      <c r="S53" s="25"/>
    </row>
    <row r="54" spans="2:24" s="5" customFormat="1" hidden="1" x14ac:dyDescent="0.2">
      <c r="B54" s="1110"/>
      <c r="C54" s="1110"/>
      <c r="D54" s="1110"/>
      <c r="E54" s="1110"/>
      <c r="F54" s="1842"/>
      <c r="G54" s="1110"/>
      <c r="H54" s="1110"/>
      <c r="I54" s="1110"/>
      <c r="J54" s="1110"/>
      <c r="K54" s="1110"/>
      <c r="L54" s="1110"/>
      <c r="M54" s="1110"/>
      <c r="N54" s="1110"/>
      <c r="O54" s="1110"/>
      <c r="P54" s="1110"/>
      <c r="Q54" s="1110"/>
      <c r="R54" s="1110"/>
      <c r="S54" s="25"/>
    </row>
    <row r="55" spans="2:24" s="5" customFormat="1" hidden="1" x14ac:dyDescent="0.2">
      <c r="B55" s="1110"/>
      <c r="C55" s="1110"/>
      <c r="D55" s="1110"/>
      <c r="E55" s="1110"/>
      <c r="F55" s="1842"/>
      <c r="G55" s="1110"/>
      <c r="H55" s="1110"/>
      <c r="I55" s="1110"/>
      <c r="J55" s="1110"/>
      <c r="K55" s="1110"/>
      <c r="L55" s="1110"/>
      <c r="M55" s="1110"/>
      <c r="N55" s="1110"/>
      <c r="O55" s="1110"/>
      <c r="P55" s="1110"/>
      <c r="Q55" s="1110"/>
      <c r="R55" s="1110"/>
      <c r="S55" s="25"/>
    </row>
    <row r="56" spans="2:24" s="5" customFormat="1" ht="15.75" thickBot="1" x14ac:dyDescent="0.25">
      <c r="B56" s="1110"/>
      <c r="C56" s="1110"/>
      <c r="D56" s="1110"/>
      <c r="E56" s="1110"/>
      <c r="F56" s="1842"/>
      <c r="G56" s="1110"/>
      <c r="H56" s="1110"/>
      <c r="I56" s="1110"/>
      <c r="J56" s="1110"/>
      <c r="K56" s="1110"/>
      <c r="L56" s="1110"/>
      <c r="M56" s="1110"/>
      <c r="N56" s="1110"/>
      <c r="O56" s="1110"/>
      <c r="P56" s="1110"/>
      <c r="Q56" s="1110"/>
      <c r="R56" s="1110"/>
      <c r="S56" s="25"/>
    </row>
    <row r="57" spans="2:24" s="5" customFormat="1" ht="15.75" thickBot="1" x14ac:dyDescent="0.25">
      <c r="B57" s="2723" t="s">
        <v>1050</v>
      </c>
      <c r="C57" s="2730"/>
      <c r="D57" s="2730"/>
      <c r="E57" s="2730"/>
      <c r="F57" s="2730"/>
      <c r="G57" s="2730"/>
      <c r="H57" s="2730"/>
      <c r="I57" s="2730"/>
      <c r="J57" s="2730"/>
      <c r="K57" s="2730"/>
      <c r="L57" s="2730"/>
      <c r="M57" s="2730"/>
      <c r="N57" s="2730"/>
      <c r="O57" s="2724"/>
      <c r="P57" s="25"/>
      <c r="Q57" s="25"/>
      <c r="R57" s="25"/>
      <c r="S57" s="25"/>
    </row>
    <row r="58" spans="2:24" s="5" customFormat="1" x14ac:dyDescent="0.2">
      <c r="B58" s="2734"/>
      <c r="C58" s="2735"/>
      <c r="D58" s="2735"/>
      <c r="E58" s="2735"/>
      <c r="F58" s="2735"/>
      <c r="G58" s="2735"/>
      <c r="H58" s="2735"/>
      <c r="I58" s="2735"/>
      <c r="J58" s="2735"/>
      <c r="K58" s="2735"/>
      <c r="L58" s="2735"/>
      <c r="M58" s="2735"/>
      <c r="N58" s="2735"/>
      <c r="O58" s="2736"/>
      <c r="P58" s="25"/>
      <c r="Q58" s="25"/>
      <c r="R58" s="25"/>
      <c r="S58" s="25"/>
    </row>
    <row r="59" spans="2:24" s="5" customFormat="1" x14ac:dyDescent="0.2">
      <c r="B59" s="2734"/>
      <c r="C59" s="2735"/>
      <c r="D59" s="2735"/>
      <c r="E59" s="2735"/>
      <c r="F59" s="2735"/>
      <c r="G59" s="2735"/>
      <c r="H59" s="2735"/>
      <c r="I59" s="2735"/>
      <c r="J59" s="2735"/>
      <c r="K59" s="2735"/>
      <c r="L59" s="2735"/>
      <c r="M59" s="2735"/>
      <c r="N59" s="2735"/>
      <c r="O59" s="2736"/>
      <c r="P59" s="25"/>
      <c r="Q59" s="25"/>
      <c r="R59" s="25"/>
      <c r="S59" s="25"/>
    </row>
    <row r="60" spans="2:24" s="5" customFormat="1" x14ac:dyDescent="0.2">
      <c r="B60" s="2734"/>
      <c r="C60" s="2735"/>
      <c r="D60" s="2735"/>
      <c r="E60" s="2735"/>
      <c r="F60" s="2735"/>
      <c r="G60" s="2735"/>
      <c r="H60" s="2735"/>
      <c r="I60" s="2735"/>
      <c r="J60" s="2735"/>
      <c r="K60" s="2735"/>
      <c r="L60" s="2735"/>
      <c r="M60" s="2735"/>
      <c r="N60" s="2735"/>
      <c r="O60" s="2736"/>
      <c r="P60" s="25"/>
      <c r="Q60" s="25"/>
      <c r="R60" s="25"/>
      <c r="S60" s="25"/>
    </row>
    <row r="61" spans="2:24" s="5" customFormat="1" x14ac:dyDescent="0.2">
      <c r="B61" s="2734"/>
      <c r="C61" s="2735"/>
      <c r="D61" s="2735"/>
      <c r="E61" s="2735"/>
      <c r="F61" s="2735"/>
      <c r="G61" s="2735"/>
      <c r="H61" s="2735"/>
      <c r="I61" s="2735"/>
      <c r="J61" s="2735"/>
      <c r="K61" s="2735"/>
      <c r="L61" s="2735"/>
      <c r="M61" s="2735"/>
      <c r="N61" s="2735"/>
      <c r="O61" s="2736"/>
      <c r="P61" s="25"/>
      <c r="Q61" s="25"/>
      <c r="R61" s="25"/>
      <c r="S61" s="25"/>
    </row>
    <row r="62" spans="2:24" s="5" customFormat="1" x14ac:dyDescent="0.2">
      <c r="B62" s="2734"/>
      <c r="C62" s="2735"/>
      <c r="D62" s="2735"/>
      <c r="E62" s="2735"/>
      <c r="F62" s="2735"/>
      <c r="G62" s="2735"/>
      <c r="H62" s="2735"/>
      <c r="I62" s="2735"/>
      <c r="J62" s="2735"/>
      <c r="K62" s="2735"/>
      <c r="L62" s="2735"/>
      <c r="M62" s="2735"/>
      <c r="N62" s="2735"/>
      <c r="O62" s="2736"/>
      <c r="P62" s="25"/>
      <c r="Q62" s="25"/>
      <c r="R62" s="25"/>
      <c r="S62" s="25"/>
    </row>
    <row r="63" spans="2:24" s="5" customFormat="1" ht="15.75" thickBot="1" x14ac:dyDescent="0.25">
      <c r="B63" s="2737"/>
      <c r="C63" s="2738"/>
      <c r="D63" s="2738"/>
      <c r="E63" s="2738"/>
      <c r="F63" s="2738"/>
      <c r="G63" s="2738"/>
      <c r="H63" s="2738"/>
      <c r="I63" s="2738"/>
      <c r="J63" s="2738"/>
      <c r="K63" s="2738"/>
      <c r="L63" s="2738"/>
      <c r="M63" s="2738"/>
      <c r="N63" s="2738"/>
      <c r="O63" s="2739"/>
      <c r="P63" s="25"/>
      <c r="Q63" s="25"/>
      <c r="R63" s="25"/>
      <c r="S63" s="25"/>
    </row>
    <row r="64" spans="2:24" x14ac:dyDescent="0.2">
      <c r="B64" s="24"/>
      <c r="C64" s="24"/>
      <c r="D64" s="24"/>
      <c r="E64" s="24"/>
      <c r="F64" s="1830"/>
      <c r="G64" s="24"/>
      <c r="H64" s="24"/>
      <c r="I64" s="24"/>
      <c r="J64" s="24"/>
      <c r="K64" s="24"/>
      <c r="L64" s="24"/>
      <c r="M64" s="24"/>
      <c r="N64" s="24"/>
      <c r="O64" s="24"/>
      <c r="P64" s="24"/>
      <c r="Q64" s="24"/>
      <c r="R64" s="24"/>
      <c r="S64" s="24"/>
      <c r="T64" s="1"/>
      <c r="U64" s="1"/>
      <c r="V64" s="1"/>
      <c r="W64" s="1"/>
      <c r="X64" s="1"/>
    </row>
    <row r="65" spans="2:24" x14ac:dyDescent="0.2">
      <c r="B65" s="24"/>
      <c r="C65" s="24"/>
      <c r="D65" s="24"/>
      <c r="E65" s="24"/>
      <c r="F65" s="1830"/>
      <c r="G65" s="24"/>
      <c r="H65" s="24"/>
      <c r="I65" s="24"/>
      <c r="J65" s="24"/>
      <c r="K65" s="24"/>
      <c r="L65" s="24"/>
      <c r="M65" s="24"/>
      <c r="N65" s="24"/>
      <c r="O65" s="24"/>
      <c r="P65" s="24"/>
      <c r="Q65" s="24"/>
      <c r="R65" s="24"/>
      <c r="S65" s="24"/>
      <c r="T65" s="1"/>
      <c r="U65" s="1"/>
      <c r="V65" s="1"/>
      <c r="W65" s="1"/>
      <c r="X65" s="1"/>
    </row>
    <row r="66" spans="2:24" x14ac:dyDescent="0.2">
      <c r="B66" s="24"/>
      <c r="C66" s="24"/>
      <c r="D66" s="24"/>
      <c r="E66" s="24"/>
      <c r="F66" s="1830"/>
      <c r="G66" s="24"/>
      <c r="H66" s="24"/>
      <c r="I66" s="24"/>
      <c r="J66" s="24"/>
      <c r="K66" s="24"/>
      <c r="L66" s="24"/>
      <c r="M66" s="24"/>
      <c r="N66" s="24"/>
      <c r="O66" s="24"/>
      <c r="P66" s="24"/>
      <c r="Q66" s="24"/>
      <c r="R66" s="24"/>
      <c r="S66" s="24"/>
      <c r="T66" s="1"/>
      <c r="U66" s="1"/>
      <c r="V66" s="1"/>
      <c r="W66" s="1"/>
      <c r="X66" s="1"/>
    </row>
    <row r="67" spans="2:24" x14ac:dyDescent="0.2">
      <c r="B67" s="24"/>
      <c r="C67" s="24"/>
      <c r="D67" s="24"/>
      <c r="E67" s="24"/>
      <c r="F67" s="1830"/>
      <c r="G67" s="24"/>
      <c r="H67" s="24"/>
      <c r="I67" s="24"/>
      <c r="J67" s="24"/>
      <c r="K67" s="24"/>
      <c r="L67" s="24"/>
      <c r="M67" s="24"/>
      <c r="N67" s="24"/>
      <c r="O67" s="24"/>
      <c r="P67" s="24"/>
      <c r="Q67" s="24"/>
      <c r="R67" s="24"/>
      <c r="S67" s="24"/>
    </row>
    <row r="68" spans="2:24" x14ac:dyDescent="0.2">
      <c r="B68" s="24"/>
      <c r="C68" s="24"/>
      <c r="D68" s="24"/>
      <c r="E68" s="24"/>
      <c r="F68" s="1830"/>
      <c r="G68" s="24"/>
      <c r="H68" s="24"/>
      <c r="I68" s="24"/>
      <c r="J68" s="24"/>
      <c r="K68" s="24"/>
      <c r="L68" s="24"/>
      <c r="M68" s="24"/>
      <c r="N68" s="24"/>
      <c r="O68" s="24"/>
      <c r="P68" s="24"/>
      <c r="Q68" s="24"/>
      <c r="R68" s="24"/>
      <c r="S68" s="24"/>
    </row>
    <row r="69" spans="2:24" x14ac:dyDescent="0.2">
      <c r="B69" s="24"/>
      <c r="C69" s="24"/>
      <c r="D69" s="24"/>
      <c r="E69" s="24"/>
      <c r="F69" s="1830"/>
      <c r="G69" s="24"/>
      <c r="H69" s="24"/>
      <c r="I69" s="24"/>
      <c r="J69" s="24"/>
      <c r="K69" s="24"/>
      <c r="L69" s="24"/>
      <c r="M69" s="24"/>
      <c r="N69" s="24"/>
      <c r="O69" s="24"/>
      <c r="P69" s="24"/>
      <c r="Q69" s="24"/>
      <c r="R69" s="24"/>
      <c r="S69" s="24"/>
    </row>
    <row r="70" spans="2:24" x14ac:dyDescent="0.2">
      <c r="B70" s="24"/>
      <c r="C70" s="24"/>
      <c r="D70" s="24"/>
      <c r="E70" s="24"/>
      <c r="F70" s="1830"/>
      <c r="G70" s="24"/>
      <c r="H70" s="24"/>
      <c r="I70" s="24"/>
      <c r="J70" s="24"/>
      <c r="K70" s="24"/>
      <c r="L70" s="24"/>
      <c r="M70" s="24"/>
      <c r="N70" s="24"/>
      <c r="O70" s="24"/>
      <c r="P70" s="24"/>
      <c r="Q70" s="24"/>
      <c r="R70" s="24"/>
      <c r="S70" s="24"/>
    </row>
    <row r="71" spans="2:24" x14ac:dyDescent="0.2">
      <c r="B71" s="24"/>
      <c r="C71" s="24"/>
      <c r="D71" s="24"/>
      <c r="E71" s="24"/>
      <c r="F71" s="1830"/>
      <c r="G71" s="24"/>
      <c r="H71" s="24"/>
      <c r="I71" s="24"/>
      <c r="J71" s="24"/>
      <c r="K71" s="24"/>
      <c r="L71" s="24"/>
      <c r="M71" s="24"/>
      <c r="N71" s="24"/>
      <c r="O71" s="24"/>
      <c r="P71" s="24"/>
      <c r="Q71" s="24"/>
      <c r="R71" s="24"/>
      <c r="S71" s="24"/>
    </row>
    <row r="72" spans="2:24" x14ac:dyDescent="0.2">
      <c r="B72" s="24"/>
      <c r="C72" s="24"/>
      <c r="D72" s="24"/>
      <c r="E72" s="24"/>
      <c r="F72" s="1830"/>
      <c r="G72" s="24"/>
      <c r="H72" s="24"/>
      <c r="I72" s="24"/>
      <c r="J72" s="24"/>
      <c r="K72" s="24"/>
      <c r="L72" s="24"/>
      <c r="M72" s="24"/>
      <c r="N72" s="24"/>
      <c r="O72" s="24"/>
      <c r="P72" s="24"/>
      <c r="Q72" s="24"/>
      <c r="R72" s="24"/>
      <c r="S72" s="24"/>
    </row>
    <row r="73" spans="2:24" x14ac:dyDescent="0.2">
      <c r="B73" s="24"/>
      <c r="C73" s="24"/>
      <c r="D73" s="24"/>
      <c r="E73" s="24"/>
      <c r="F73" s="1830"/>
      <c r="G73" s="24"/>
      <c r="H73" s="24"/>
      <c r="I73" s="24"/>
      <c r="J73" s="24"/>
      <c r="K73" s="24"/>
      <c r="L73" s="24"/>
      <c r="M73" s="24"/>
      <c r="N73" s="24"/>
      <c r="O73" s="24"/>
      <c r="P73" s="24"/>
      <c r="Q73" s="24"/>
      <c r="R73" s="24"/>
      <c r="S73" s="24"/>
    </row>
    <row r="74" spans="2:24" x14ac:dyDescent="0.2">
      <c r="B74" s="24"/>
      <c r="C74" s="24"/>
      <c r="D74" s="24"/>
      <c r="E74" s="24"/>
      <c r="F74" s="1830"/>
      <c r="G74" s="24"/>
      <c r="H74" s="24"/>
      <c r="I74" s="24"/>
      <c r="J74" s="24"/>
      <c r="K74" s="24"/>
      <c r="L74" s="24"/>
      <c r="M74" s="24"/>
      <c r="N74" s="24"/>
      <c r="O74" s="24"/>
      <c r="P74" s="24"/>
      <c r="Q74" s="24"/>
      <c r="R74" s="24"/>
      <c r="S74" s="24"/>
    </row>
    <row r="75" spans="2:24" x14ac:dyDescent="0.2">
      <c r="B75" s="24"/>
      <c r="C75" s="24"/>
      <c r="D75" s="24"/>
      <c r="E75" s="24"/>
      <c r="F75" s="1830"/>
      <c r="G75" s="24"/>
      <c r="H75" s="24"/>
      <c r="I75" s="24"/>
      <c r="J75" s="24"/>
      <c r="K75" s="24"/>
      <c r="L75" s="24"/>
      <c r="M75" s="24"/>
      <c r="N75" s="24"/>
      <c r="O75" s="24"/>
      <c r="P75" s="24"/>
      <c r="Q75" s="24"/>
      <c r="R75" s="24"/>
      <c r="S75" s="24"/>
    </row>
    <row r="76" spans="2:24" x14ac:dyDescent="0.2">
      <c r="B76" s="24"/>
      <c r="C76" s="24"/>
      <c r="D76" s="24"/>
      <c r="E76" s="24"/>
      <c r="F76" s="1830"/>
      <c r="G76" s="24"/>
      <c r="H76" s="24"/>
      <c r="I76" s="24"/>
      <c r="J76" s="24"/>
      <c r="K76" s="24"/>
      <c r="L76" s="24"/>
      <c r="M76" s="24"/>
      <c r="N76" s="24"/>
      <c r="O76" s="24"/>
      <c r="P76" s="24"/>
      <c r="Q76" s="24"/>
      <c r="R76" s="24"/>
      <c r="S76" s="24"/>
    </row>
    <row r="77" spans="2:24" x14ac:dyDescent="0.2">
      <c r="B77" s="24"/>
      <c r="C77" s="24"/>
      <c r="D77" s="24"/>
      <c r="E77" s="24"/>
      <c r="F77" s="1830"/>
      <c r="G77" s="24"/>
      <c r="H77" s="24"/>
      <c r="I77" s="24"/>
      <c r="J77" s="24"/>
      <c r="K77" s="24"/>
      <c r="L77" s="24"/>
      <c r="M77" s="24"/>
      <c r="N77" s="24"/>
      <c r="O77" s="24"/>
      <c r="P77" s="24"/>
      <c r="Q77" s="24"/>
      <c r="R77" s="24"/>
      <c r="S77" s="24"/>
    </row>
    <row r="78" spans="2:24" x14ac:dyDescent="0.2">
      <c r="B78" s="24"/>
      <c r="C78" s="24"/>
      <c r="D78" s="24"/>
      <c r="E78" s="24"/>
      <c r="F78" s="1830"/>
      <c r="G78" s="24"/>
      <c r="H78" s="24"/>
      <c r="I78" s="24"/>
      <c r="J78" s="24"/>
      <c r="K78" s="24"/>
      <c r="L78" s="24"/>
      <c r="M78" s="24"/>
      <c r="N78" s="24"/>
      <c r="O78" s="24"/>
      <c r="P78" s="24"/>
      <c r="Q78" s="24"/>
      <c r="R78" s="24"/>
      <c r="S78" s="24"/>
    </row>
    <row r="79" spans="2:24" x14ac:dyDescent="0.2">
      <c r="B79" s="24"/>
      <c r="C79" s="24"/>
      <c r="D79" s="24"/>
      <c r="E79" s="24"/>
      <c r="F79" s="1830"/>
      <c r="G79" s="24"/>
      <c r="H79" s="24"/>
      <c r="I79" s="24"/>
      <c r="J79" s="24"/>
      <c r="K79" s="24"/>
      <c r="L79" s="24"/>
      <c r="M79" s="24"/>
      <c r="N79" s="24"/>
      <c r="O79" s="24"/>
      <c r="P79" s="24"/>
      <c r="Q79" s="24"/>
      <c r="R79" s="24"/>
      <c r="S79" s="24"/>
    </row>
    <row r="80" spans="2:24" x14ac:dyDescent="0.2">
      <c r="B80" s="24"/>
      <c r="C80" s="24"/>
      <c r="D80" s="24"/>
      <c r="E80" s="24"/>
      <c r="F80" s="1830"/>
      <c r="G80" s="24"/>
      <c r="H80" s="24"/>
      <c r="I80" s="24"/>
      <c r="J80" s="24"/>
      <c r="K80" s="24"/>
      <c r="L80" s="24"/>
      <c r="M80" s="24"/>
      <c r="N80" s="24"/>
      <c r="O80" s="24"/>
      <c r="P80" s="24"/>
      <c r="Q80" s="24"/>
      <c r="R80" s="24"/>
      <c r="S80" s="24"/>
    </row>
    <row r="81" spans="2:19" x14ac:dyDescent="0.2">
      <c r="B81" s="24"/>
      <c r="C81" s="24"/>
      <c r="D81" s="24"/>
      <c r="E81" s="24"/>
      <c r="F81" s="1830"/>
      <c r="G81" s="24"/>
      <c r="H81" s="24"/>
      <c r="I81" s="24"/>
      <c r="J81" s="24"/>
      <c r="K81" s="24"/>
      <c r="L81" s="24"/>
      <c r="M81" s="24"/>
      <c r="N81" s="24"/>
      <c r="O81" s="24"/>
      <c r="P81" s="24"/>
      <c r="Q81" s="24"/>
      <c r="R81" s="24"/>
      <c r="S81" s="24"/>
    </row>
    <row r="82" spans="2:19" x14ac:dyDescent="0.2">
      <c r="B82" s="24"/>
      <c r="C82" s="24"/>
      <c r="D82" s="24"/>
      <c r="E82" s="24"/>
      <c r="F82" s="1830"/>
      <c r="G82" s="24"/>
      <c r="H82" s="24"/>
      <c r="I82" s="24"/>
      <c r="J82" s="24"/>
      <c r="K82" s="24"/>
      <c r="L82" s="24"/>
      <c r="M82" s="24"/>
      <c r="N82" s="24"/>
      <c r="O82" s="24"/>
      <c r="P82" s="24"/>
      <c r="Q82" s="24"/>
      <c r="R82" s="24"/>
      <c r="S82" s="24"/>
    </row>
    <row r="83" spans="2:19" x14ac:dyDescent="0.2">
      <c r="B83" s="24"/>
      <c r="C83" s="24"/>
      <c r="D83" s="24"/>
      <c r="E83" s="24"/>
      <c r="F83" s="1830"/>
      <c r="G83" s="24"/>
      <c r="H83" s="24"/>
      <c r="I83" s="24"/>
      <c r="J83" s="24"/>
      <c r="K83" s="24"/>
      <c r="L83" s="24"/>
      <c r="M83" s="24"/>
      <c r="N83" s="24"/>
      <c r="O83" s="24"/>
      <c r="P83" s="24"/>
      <c r="Q83" s="24"/>
      <c r="R83" s="24"/>
      <c r="S83" s="24"/>
    </row>
    <row r="84" spans="2:19" x14ac:dyDescent="0.2">
      <c r="B84" s="24"/>
      <c r="C84" s="24"/>
      <c r="D84" s="24"/>
      <c r="E84" s="24"/>
      <c r="F84" s="1830"/>
      <c r="G84" s="24"/>
      <c r="H84" s="24"/>
      <c r="I84" s="24"/>
      <c r="J84" s="24"/>
      <c r="K84" s="24"/>
      <c r="L84" s="24"/>
      <c r="M84" s="24"/>
      <c r="N84" s="24"/>
      <c r="O84" s="24"/>
      <c r="P84" s="24"/>
      <c r="Q84" s="24"/>
      <c r="R84" s="24"/>
      <c r="S84" s="24"/>
    </row>
    <row r="85" spans="2:19" x14ac:dyDescent="0.2">
      <c r="B85" s="24"/>
      <c r="C85" s="24"/>
      <c r="D85" s="24"/>
      <c r="E85" s="24"/>
      <c r="F85" s="1830"/>
      <c r="G85" s="24"/>
      <c r="H85" s="24"/>
      <c r="I85" s="24"/>
      <c r="J85" s="24"/>
      <c r="K85" s="24"/>
      <c r="L85" s="24"/>
      <c r="M85" s="24"/>
      <c r="N85" s="24"/>
      <c r="O85" s="24"/>
      <c r="P85" s="24"/>
      <c r="Q85" s="24"/>
      <c r="R85" s="24"/>
      <c r="S85" s="24"/>
    </row>
    <row r="86" spans="2:19" x14ac:dyDescent="0.2">
      <c r="B86" s="24"/>
      <c r="C86" s="24"/>
      <c r="D86" s="24"/>
      <c r="E86" s="24"/>
      <c r="F86" s="1830"/>
      <c r="G86" s="24"/>
      <c r="H86" s="24"/>
      <c r="I86" s="24"/>
      <c r="J86" s="24"/>
      <c r="K86" s="24"/>
      <c r="L86" s="24"/>
      <c r="M86" s="24"/>
      <c r="N86" s="24"/>
      <c r="O86" s="24"/>
      <c r="P86" s="24"/>
      <c r="Q86" s="24"/>
      <c r="R86" s="24"/>
      <c r="S86" s="24"/>
    </row>
    <row r="87" spans="2:19" x14ac:dyDescent="0.2">
      <c r="B87" s="24"/>
      <c r="C87" s="24"/>
      <c r="D87" s="24"/>
      <c r="E87" s="24"/>
      <c r="F87" s="1830"/>
      <c r="G87" s="24"/>
      <c r="H87" s="24"/>
      <c r="I87" s="24"/>
      <c r="J87" s="24"/>
      <c r="K87" s="24"/>
      <c r="L87" s="24"/>
      <c r="M87" s="24"/>
      <c r="N87" s="24"/>
      <c r="O87" s="24"/>
      <c r="P87" s="24"/>
      <c r="Q87" s="24"/>
      <c r="R87" s="24"/>
      <c r="S87" s="24"/>
    </row>
    <row r="88" spans="2:19" x14ac:dyDescent="0.2">
      <c r="B88" s="24"/>
      <c r="C88" s="24"/>
      <c r="D88" s="24"/>
      <c r="E88" s="24"/>
      <c r="F88" s="1830"/>
      <c r="G88" s="24"/>
      <c r="H88" s="24"/>
      <c r="I88" s="24"/>
      <c r="J88" s="24"/>
      <c r="K88" s="24"/>
      <c r="L88" s="24"/>
      <c r="M88" s="24"/>
      <c r="N88" s="24"/>
      <c r="O88" s="24"/>
      <c r="P88" s="24"/>
      <c r="Q88" s="24"/>
      <c r="R88" s="24"/>
      <c r="S88" s="24"/>
    </row>
    <row r="89" spans="2:19" x14ac:dyDescent="0.2">
      <c r="B89" s="24"/>
      <c r="C89" s="24"/>
      <c r="D89" s="24"/>
      <c r="E89" s="24"/>
      <c r="F89" s="1830"/>
      <c r="G89" s="24"/>
      <c r="H89" s="24"/>
      <c r="I89" s="24"/>
      <c r="J89" s="24"/>
      <c r="K89" s="24"/>
      <c r="L89" s="24"/>
      <c r="M89" s="24"/>
      <c r="N89" s="24"/>
      <c r="O89" s="24"/>
      <c r="P89" s="24"/>
      <c r="Q89" s="24"/>
      <c r="R89" s="24"/>
      <c r="S89" s="24"/>
    </row>
    <row r="90" spans="2:19" x14ac:dyDescent="0.2">
      <c r="B90" s="24"/>
      <c r="C90" s="24"/>
      <c r="D90" s="24"/>
      <c r="E90" s="24"/>
      <c r="F90" s="1830"/>
      <c r="G90" s="24"/>
      <c r="H90" s="24"/>
      <c r="I90" s="24"/>
      <c r="J90" s="24"/>
      <c r="K90" s="24"/>
      <c r="L90" s="24"/>
      <c r="M90" s="24"/>
      <c r="N90" s="24"/>
      <c r="O90" s="24"/>
      <c r="P90" s="24"/>
      <c r="Q90" s="24"/>
      <c r="R90" s="24"/>
      <c r="S90" s="24"/>
    </row>
    <row r="91" spans="2:19" x14ac:dyDescent="0.2">
      <c r="B91" s="24"/>
      <c r="C91" s="24"/>
      <c r="D91" s="24"/>
      <c r="E91" s="24"/>
      <c r="F91" s="1830"/>
      <c r="G91" s="24"/>
      <c r="H91" s="24"/>
      <c r="I91" s="24"/>
      <c r="J91" s="24"/>
      <c r="K91" s="24"/>
      <c r="L91" s="24"/>
      <c r="M91" s="24"/>
      <c r="N91" s="24"/>
      <c r="O91" s="24"/>
      <c r="P91" s="24"/>
      <c r="Q91" s="24"/>
      <c r="R91" s="24"/>
      <c r="S91" s="24"/>
    </row>
    <row r="92" spans="2:19" x14ac:dyDescent="0.2">
      <c r="B92" s="24"/>
      <c r="C92" s="24"/>
      <c r="D92" s="24"/>
      <c r="E92" s="24"/>
      <c r="F92" s="1830"/>
      <c r="G92" s="24"/>
      <c r="H92" s="24"/>
      <c r="I92" s="24"/>
      <c r="J92" s="24"/>
      <c r="K92" s="24"/>
      <c r="L92" s="24"/>
      <c r="M92" s="24"/>
      <c r="N92" s="24"/>
      <c r="O92" s="24"/>
      <c r="P92" s="24"/>
      <c r="Q92" s="24"/>
      <c r="R92" s="24"/>
      <c r="S92" s="24"/>
    </row>
    <row r="93" spans="2:19" x14ac:dyDescent="0.2">
      <c r="B93" s="24"/>
      <c r="C93" s="24"/>
      <c r="D93" s="24"/>
      <c r="E93" s="24"/>
      <c r="F93" s="1830"/>
      <c r="G93" s="24"/>
      <c r="H93" s="24"/>
      <c r="I93" s="24"/>
      <c r="J93" s="24"/>
      <c r="K93" s="24"/>
      <c r="L93" s="24"/>
      <c r="M93" s="24"/>
      <c r="N93" s="24"/>
      <c r="O93" s="24"/>
      <c r="P93" s="24"/>
      <c r="Q93" s="24"/>
      <c r="R93" s="24"/>
      <c r="S93" s="24"/>
    </row>
    <row r="94" spans="2:19" x14ac:dyDescent="0.2">
      <c r="B94" s="24"/>
      <c r="C94" s="24"/>
      <c r="D94" s="24"/>
      <c r="E94" s="24"/>
      <c r="F94" s="1830"/>
      <c r="G94" s="24"/>
      <c r="H94" s="24"/>
      <c r="I94" s="24"/>
      <c r="J94" s="24"/>
      <c r="K94" s="24"/>
      <c r="L94" s="24"/>
      <c r="M94" s="24"/>
      <c r="N94" s="24"/>
      <c r="O94" s="24"/>
      <c r="P94" s="24"/>
      <c r="Q94" s="24"/>
      <c r="R94" s="24"/>
      <c r="S94" s="24"/>
    </row>
    <row r="95" spans="2:19" x14ac:dyDescent="0.2">
      <c r="B95" s="24"/>
      <c r="C95" s="24"/>
      <c r="D95" s="24"/>
      <c r="E95" s="24"/>
      <c r="F95" s="1830"/>
      <c r="G95" s="24"/>
      <c r="H95" s="24"/>
      <c r="I95" s="24"/>
      <c r="J95" s="24"/>
      <c r="K95" s="24"/>
      <c r="L95" s="24"/>
      <c r="M95" s="24"/>
      <c r="N95" s="24"/>
      <c r="O95" s="24"/>
      <c r="P95" s="24"/>
      <c r="Q95" s="24"/>
      <c r="R95" s="24"/>
      <c r="S95" s="24"/>
    </row>
    <row r="96" spans="2:19" x14ac:dyDescent="0.2">
      <c r="B96" s="24"/>
      <c r="C96" s="24"/>
      <c r="D96" s="24"/>
      <c r="E96" s="24"/>
      <c r="F96" s="1830"/>
      <c r="G96" s="24"/>
      <c r="H96" s="24"/>
      <c r="I96" s="24"/>
      <c r="J96" s="24"/>
      <c r="K96" s="24"/>
      <c r="L96" s="24"/>
      <c r="M96" s="24"/>
      <c r="N96" s="24"/>
      <c r="O96" s="24"/>
      <c r="P96" s="24"/>
      <c r="Q96" s="24"/>
      <c r="R96" s="24"/>
      <c r="S96" s="24"/>
    </row>
    <row r="97" spans="2:19" x14ac:dyDescent="0.2">
      <c r="B97" s="24"/>
      <c r="C97" s="24"/>
      <c r="D97" s="24"/>
      <c r="E97" s="24"/>
      <c r="F97" s="1830"/>
      <c r="G97" s="24"/>
      <c r="H97" s="24"/>
      <c r="I97" s="24"/>
      <c r="J97" s="24"/>
      <c r="K97" s="24"/>
      <c r="L97" s="24"/>
      <c r="M97" s="24"/>
      <c r="N97" s="24"/>
      <c r="O97" s="24"/>
      <c r="P97" s="24"/>
      <c r="Q97" s="24"/>
      <c r="R97" s="24"/>
      <c r="S97" s="24"/>
    </row>
    <row r="98" spans="2:19" x14ac:dyDescent="0.2">
      <c r="B98" s="24"/>
      <c r="C98" s="24"/>
      <c r="D98" s="24"/>
      <c r="E98" s="24"/>
      <c r="F98" s="1830"/>
      <c r="G98" s="24"/>
      <c r="H98" s="24"/>
      <c r="I98" s="24"/>
      <c r="J98" s="24"/>
      <c r="K98" s="24"/>
      <c r="L98" s="24"/>
      <c r="M98" s="24"/>
      <c r="N98" s="24"/>
      <c r="O98" s="24"/>
      <c r="P98" s="24"/>
      <c r="Q98" s="24"/>
      <c r="R98" s="24"/>
      <c r="S98" s="24"/>
    </row>
  </sheetData>
  <sheetProtection algorithmName="SHA-512" hashValue="jpKyQCKn49rEStYPM9h35bX1+olOBIqWbvWxQLFwistuZVpkBWORpxxRLvubVup+I/MwweyOq4WyVJJeMlah5g==" saltValue="MyU9weZpPB8x+/rBW6qUXg==" spinCount="100000" sheet="1" objects="1" scenarios="1"/>
  <mergeCells count="15">
    <mergeCell ref="B57:O57"/>
    <mergeCell ref="B58:O63"/>
    <mergeCell ref="B4:F4"/>
    <mergeCell ref="P38:Q38"/>
    <mergeCell ref="B6:F6"/>
    <mergeCell ref="B30:F30"/>
    <mergeCell ref="B21:E21"/>
    <mergeCell ref="G31:L31"/>
    <mergeCell ref="G32:L32"/>
    <mergeCell ref="G33:L33"/>
    <mergeCell ref="G34:L34"/>
    <mergeCell ref="G35:L35"/>
    <mergeCell ref="G36:L36"/>
    <mergeCell ref="B19:E19"/>
    <mergeCell ref="B38:O38"/>
  </mergeCells>
  <phoneticPr fontId="50" type="noConversion"/>
  <dataValidations count="1">
    <dataValidation errorStyle="warning" allowBlank="1" showInputMessage="1" showErrorMessage="1" errorTitle="KKKKK" error="DEV SER SEMPRE IGUAL A 100" sqref="B40:B43"/>
  </dataValidations>
  <pageMargins left="0.78740157499999996" right="0.78740157499999996" top="0.984251969" bottom="0.984251969" header="0.49212598499999999" footer="0.49212598499999999"/>
  <pageSetup paperSize="9" scale="60" orientation="landscape" r:id="rId1"/>
  <headerFooter alignWithMargins="0"/>
  <rowBreaks count="1" manualBreakCount="1">
    <brk id="51" max="16383" man="1"/>
  </rowBreaks>
  <colBreaks count="1" manualBreakCount="1">
    <brk id="17"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0">
    <tabColor rgb="FFFFFF00"/>
    <pageSetUpPr fitToPage="1"/>
  </sheetPr>
  <dimension ref="B1:V426"/>
  <sheetViews>
    <sheetView showGridLines="0" zoomScaleNormal="100" zoomScaleSheetLayoutView="75" workbookViewId="0">
      <selection activeCell="F11" sqref="F11:F27"/>
    </sheetView>
  </sheetViews>
  <sheetFormatPr defaultRowHeight="12.75" x14ac:dyDescent="0.2"/>
  <cols>
    <col min="1" max="1" width="9.140625" style="346"/>
    <col min="2" max="2" width="9.140625" style="1138" customWidth="1"/>
    <col min="3" max="3" width="32.42578125" style="346" customWidth="1"/>
    <col min="4" max="4" width="26.28515625" style="346" bestFit="1" customWidth="1"/>
    <col min="5" max="5" width="16" style="346" customWidth="1"/>
    <col min="6" max="6" width="17.42578125" style="346" customWidth="1"/>
    <col min="7" max="7" width="13.7109375" style="346" customWidth="1"/>
    <col min="8" max="8" width="11.42578125" style="346" customWidth="1"/>
    <col min="9" max="9" width="16.7109375" style="346" customWidth="1"/>
    <col min="10" max="10" width="5" style="346" hidden="1" customWidth="1"/>
    <col min="11" max="11" width="6.28515625" style="346" hidden="1" customWidth="1"/>
    <col min="12" max="12" width="7.28515625" style="346" hidden="1" customWidth="1"/>
    <col min="13" max="13" width="8" style="346" hidden="1" customWidth="1"/>
    <col min="14" max="14" width="8.28515625" style="346" hidden="1" customWidth="1"/>
    <col min="15" max="15" width="10.7109375" style="346" hidden="1" customWidth="1"/>
    <col min="16" max="16" width="14.7109375" style="801" customWidth="1"/>
    <col min="17" max="17" width="18.42578125" style="345" customWidth="1"/>
    <col min="18" max="22" width="9.140625" style="345" customWidth="1"/>
    <col min="23" max="16384" width="9.140625" style="346"/>
  </cols>
  <sheetData>
    <row r="1" spans="2:22" ht="13.5" thickBot="1" x14ac:dyDescent="0.25"/>
    <row r="2" spans="2:22" ht="21" customHeight="1" thickBot="1" x14ac:dyDescent="0.25">
      <c r="B2" s="2577" t="str">
        <f>CADASTRO!C4</f>
        <v>Digitar o nome</v>
      </c>
      <c r="C2" s="2574"/>
      <c r="D2" s="2574"/>
      <c r="E2" s="2574" t="str">
        <f>CADASTRO!C6</f>
        <v>Digitar o município</v>
      </c>
      <c r="F2" s="2574"/>
      <c r="G2" s="2574"/>
      <c r="H2" s="2575">
        <f>CADASTRO!C12</f>
        <v>44013</v>
      </c>
      <c r="I2" s="2573">
        <f>CADASTRO!C14</f>
        <v>44377</v>
      </c>
      <c r="J2" s="2574"/>
      <c r="K2" s="2574"/>
      <c r="L2" s="2574"/>
      <c r="M2" s="2574"/>
      <c r="N2" s="2574"/>
      <c r="O2" s="2574"/>
      <c r="P2" s="2576"/>
    </row>
    <row r="3" spans="2:22" ht="5.25" customHeight="1" thickBot="1" x14ac:dyDescent="0.25">
      <c r="I3" s="345"/>
      <c r="P3" s="1139"/>
      <c r="Q3" s="346"/>
      <c r="R3" s="346"/>
      <c r="S3" s="346"/>
      <c r="T3" s="346"/>
      <c r="U3" s="346"/>
      <c r="V3" s="346"/>
    </row>
    <row r="4" spans="2:22" ht="18.75" customHeight="1" thickBot="1" x14ac:dyDescent="0.25">
      <c r="B4" s="2946" t="s">
        <v>1072</v>
      </c>
      <c r="C4" s="2947"/>
      <c r="D4" s="2947"/>
      <c r="E4" s="2947"/>
      <c r="F4" s="2947"/>
      <c r="G4" s="2947"/>
      <c r="H4" s="2947"/>
      <c r="I4" s="2947"/>
      <c r="J4" s="2947"/>
      <c r="K4" s="2947"/>
      <c r="L4" s="2947"/>
      <c r="M4" s="2947"/>
      <c r="N4" s="2947"/>
      <c r="O4" s="2947"/>
      <c r="P4" s="2948"/>
      <c r="Q4" s="346"/>
      <c r="R4" s="346"/>
      <c r="S4" s="346"/>
      <c r="T4" s="346"/>
      <c r="U4" s="346"/>
      <c r="V4" s="346"/>
    </row>
    <row r="5" spans="2:22" ht="6" customHeight="1" x14ac:dyDescent="0.2">
      <c r="I5" s="345"/>
      <c r="P5" s="1139"/>
      <c r="Q5" s="346"/>
      <c r="R5" s="346"/>
      <c r="S5" s="346"/>
      <c r="T5" s="346"/>
      <c r="U5" s="346"/>
      <c r="V5" s="346"/>
    </row>
    <row r="6" spans="2:22" ht="6" customHeight="1" thickBot="1" x14ac:dyDescent="0.25">
      <c r="I6" s="345"/>
      <c r="P6" s="1139"/>
      <c r="Q6" s="346"/>
      <c r="R6" s="346"/>
      <c r="S6" s="346"/>
      <c r="T6" s="346"/>
      <c r="U6" s="346"/>
      <c r="V6" s="346"/>
    </row>
    <row r="7" spans="2:22" ht="24.75" customHeight="1" thickBot="1" x14ac:dyDescent="0.25">
      <c r="B7" s="2949" t="s">
        <v>1053</v>
      </c>
      <c r="C7" s="2950"/>
      <c r="D7" s="2950"/>
      <c r="E7" s="2950"/>
      <c r="F7" s="2950"/>
      <c r="G7" s="2950"/>
      <c r="H7" s="2950"/>
      <c r="I7" s="2950"/>
      <c r="J7" s="2950"/>
      <c r="K7" s="2950"/>
      <c r="L7" s="2950"/>
      <c r="M7" s="2950"/>
      <c r="N7" s="2950"/>
      <c r="O7" s="2950"/>
      <c r="P7" s="2951"/>
      <c r="Q7" s="346"/>
      <c r="R7" s="346"/>
      <c r="S7" s="346"/>
      <c r="T7" s="346"/>
      <c r="U7" s="346"/>
      <c r="V7" s="346"/>
    </row>
    <row r="8" spans="2:22" ht="11.25" customHeight="1" thickBot="1" x14ac:dyDescent="0.3">
      <c r="C8" s="1895"/>
      <c r="D8" s="1895"/>
      <c r="E8" s="1895"/>
      <c r="F8" s="1895"/>
      <c r="G8" s="1895"/>
      <c r="H8" s="345"/>
      <c r="I8" s="345"/>
      <c r="J8" s="1890"/>
      <c r="K8" s="1890"/>
      <c r="L8" s="1890"/>
      <c r="M8" s="1890"/>
      <c r="N8" s="1890"/>
      <c r="O8" s="1890"/>
      <c r="P8" s="1139"/>
      <c r="Q8" s="346"/>
      <c r="R8" s="346"/>
      <c r="S8" s="346"/>
      <c r="T8" s="346"/>
      <c r="U8" s="346"/>
      <c r="V8" s="346"/>
    </row>
    <row r="9" spans="2:22" ht="16.5" thickBot="1" x14ac:dyDescent="0.3">
      <c r="B9" s="1176"/>
      <c r="C9" s="1177"/>
      <c r="D9" s="1177"/>
      <c r="E9" s="1177"/>
      <c r="F9" s="1990" t="s">
        <v>890</v>
      </c>
      <c r="G9" s="1177"/>
      <c r="H9" s="1177"/>
      <c r="I9" s="1177"/>
      <c r="J9" s="2024"/>
      <c r="K9" s="2024"/>
      <c r="L9" s="2024"/>
      <c r="M9" s="2024"/>
      <c r="N9" s="2024"/>
      <c r="O9" s="2024"/>
      <c r="P9" s="2025"/>
      <c r="Q9" s="346"/>
      <c r="R9" s="346"/>
      <c r="S9" s="346"/>
      <c r="T9" s="346"/>
      <c r="U9" s="346"/>
      <c r="V9" s="346"/>
    </row>
    <row r="10" spans="2:22" ht="48" customHeight="1" thickTop="1" thickBot="1" x14ac:dyDescent="0.3">
      <c r="B10" s="1156"/>
      <c r="C10" s="1172"/>
      <c r="D10" s="2579" t="s">
        <v>888</v>
      </c>
      <c r="E10" s="2580" t="s">
        <v>807</v>
      </c>
      <c r="F10" s="2581" t="s">
        <v>1051</v>
      </c>
      <c r="G10" s="2578" t="s">
        <v>1052</v>
      </c>
      <c r="H10" s="2963" t="s">
        <v>920</v>
      </c>
      <c r="I10" s="2964"/>
      <c r="J10" s="1890"/>
      <c r="K10" s="1890"/>
      <c r="L10" s="1890"/>
      <c r="M10" s="1890"/>
      <c r="N10" s="1890"/>
      <c r="O10" s="1890"/>
      <c r="P10" s="2026"/>
      <c r="Q10" s="346"/>
      <c r="R10" s="346"/>
      <c r="S10" s="346"/>
      <c r="T10" s="346"/>
      <c r="U10" s="346"/>
      <c r="V10" s="346"/>
    </row>
    <row r="11" spans="2:22" ht="16.5" thickTop="1" x14ac:dyDescent="0.25">
      <c r="B11" s="1156"/>
      <c r="C11" s="2926" t="s">
        <v>839</v>
      </c>
      <c r="D11" s="1898" t="str">
        <f>D40</f>
        <v/>
      </c>
      <c r="E11" s="1987">
        <f>H40</f>
        <v>0</v>
      </c>
      <c r="F11" s="2030"/>
      <c r="G11" s="2935">
        <f>IF(SUM(E11:E15)=0,0,(E11*F11+E12*F12+E13*F13+E14*F14+E15*F15)/SUM(E11:E15))</f>
        <v>0</v>
      </c>
      <c r="H11" s="2944" t="str">
        <f>IF(E11=0,"",(IF(D11=PRODUÇÃO!$B$9,PRODUÇÃO!$G$9,IF(D11=PRODUÇÃO!$B$10,PRODUÇÃO!$G$10,IF(D11=PRODUÇÃO!$B$11,PRODUÇÃO!$G$11,IF(D11=PRODUÇÃO!$B$12,PRODUÇÃO!$G$12,IF(D11=PRODUÇÃO!$B$13,PRODUÇÃO!$G$13)))))-E11*F11)/E11)</f>
        <v/>
      </c>
      <c r="I11" s="2945"/>
      <c r="J11" s="1890"/>
      <c r="K11" s="1890"/>
      <c r="L11" s="1890"/>
      <c r="M11" s="1890"/>
      <c r="N11" s="1890"/>
      <c r="O11" s="1890"/>
      <c r="P11" s="1896" t="str">
        <f>IF(E11=0,"",IF(AND(F11&lt;&gt;0,G56&lt;&gt;H61),"ERRO - custo digitado em duplicidade",""))</f>
        <v/>
      </c>
      <c r="Q11" s="346"/>
      <c r="R11" s="346"/>
      <c r="S11" s="346"/>
      <c r="T11" s="346"/>
      <c r="U11" s="346"/>
      <c r="V11" s="346"/>
    </row>
    <row r="12" spans="2:22" ht="15.75" x14ac:dyDescent="0.25">
      <c r="B12" s="1156"/>
      <c r="C12" s="2927"/>
      <c r="D12" s="1899" t="str">
        <f>D64</f>
        <v/>
      </c>
      <c r="E12" s="1988">
        <f>H64</f>
        <v>0</v>
      </c>
      <c r="F12" s="2031"/>
      <c r="G12" s="2936"/>
      <c r="H12" s="2919" t="str">
        <f>IF(E12=0,"",(IF(D12=PRODUÇÃO!$B$9,PRODUÇÃO!$G$9,IF(D12=PRODUÇÃO!$B$10,PRODUÇÃO!$G$10,IF(D12=PRODUÇÃO!$B$11,PRODUÇÃO!$G$11,IF(D12=PRODUÇÃO!$B$12,PRODUÇÃO!$G$12,IF(D12=PRODUÇÃO!$B$13,PRODUÇÃO!$G$13)))))-E12*F12)/E12)</f>
        <v/>
      </c>
      <c r="I12" s="2920"/>
      <c r="J12" s="1890"/>
      <c r="K12" s="1890"/>
      <c r="L12" s="1890"/>
      <c r="M12" s="1890"/>
      <c r="N12" s="1890"/>
      <c r="O12" s="1890"/>
      <c r="P12" s="1896" t="str">
        <f>IF(E12=0,"",IF(AND(F12&lt;&gt;0,G80&lt;&gt;I85),"ERRO - custo digitado em duplicidade",""))</f>
        <v/>
      </c>
      <c r="Q12" s="346"/>
      <c r="R12" s="346"/>
      <c r="S12" s="346"/>
      <c r="T12" s="346"/>
      <c r="U12" s="346"/>
      <c r="V12" s="346"/>
    </row>
    <row r="13" spans="2:22" ht="15.75" x14ac:dyDescent="0.25">
      <c r="B13" s="1156"/>
      <c r="C13" s="2927"/>
      <c r="D13" s="1899" t="str">
        <f>D88</f>
        <v/>
      </c>
      <c r="E13" s="1988">
        <f>I88</f>
        <v>0</v>
      </c>
      <c r="F13" s="2031"/>
      <c r="G13" s="2936"/>
      <c r="H13" s="2919" t="str">
        <f>IF(E13=0,"",(IF(D13=PRODUÇÃO!$B$9,PRODUÇÃO!$G$9,IF(D13=PRODUÇÃO!$B$10,PRODUÇÃO!$G$10,IF(D13=PRODUÇÃO!$B$11,PRODUÇÃO!$G$11,IF(D13=PRODUÇÃO!$B$12,PRODUÇÃO!$G$12,IF(D13=PRODUÇÃO!$B$13,PRODUÇÃO!$G$13)))))-E13*F13)/E13)</f>
        <v/>
      </c>
      <c r="I13" s="2920"/>
      <c r="J13" s="1890"/>
      <c r="K13" s="1890"/>
      <c r="L13" s="1890"/>
      <c r="M13" s="1890"/>
      <c r="N13" s="1890"/>
      <c r="O13" s="1890"/>
      <c r="P13" s="1896" t="str">
        <f>IF(E13=0,"",IF(AND(F13&lt;&gt;0,G104&lt;&gt;I109),"ERRO - custo digitado em duplicidade",""))</f>
        <v/>
      </c>
      <c r="Q13" s="346"/>
      <c r="R13" s="346"/>
      <c r="S13" s="346"/>
      <c r="T13" s="346"/>
      <c r="U13" s="346"/>
      <c r="V13" s="346"/>
    </row>
    <row r="14" spans="2:22" ht="15.75" x14ac:dyDescent="0.25">
      <c r="B14" s="1156"/>
      <c r="C14" s="2927"/>
      <c r="D14" s="1899" t="str">
        <f>D112</f>
        <v/>
      </c>
      <c r="E14" s="1988">
        <f>I112</f>
        <v>0</v>
      </c>
      <c r="F14" s="2031"/>
      <c r="G14" s="2936"/>
      <c r="H14" s="2919" t="str">
        <f>IF(E14=0,"",(IF(D14=PRODUÇÃO!$B$9,PRODUÇÃO!$G$9,IF(D14=PRODUÇÃO!$B$10,PRODUÇÃO!$G$10,IF(D14=PRODUÇÃO!$B$11,PRODUÇÃO!$G$11,IF(D14=PRODUÇÃO!$B$12,PRODUÇÃO!$G$12,IF(D14=PRODUÇÃO!$B$13,PRODUÇÃO!$G$13)))))-E14*F14)/E14)</f>
        <v/>
      </c>
      <c r="I14" s="2920"/>
      <c r="J14" s="1890"/>
      <c r="K14" s="1890"/>
      <c r="L14" s="1890"/>
      <c r="M14" s="1890"/>
      <c r="N14" s="1890"/>
      <c r="O14" s="1890"/>
      <c r="P14" s="1896" t="str">
        <f>IF(E14=0,"",IF(AND(F14&lt;&gt;0,G128&lt;&gt;I133),"ERRO - custo digitado em duplicidade",""))</f>
        <v/>
      </c>
      <c r="Q14" s="346"/>
      <c r="R14" s="346"/>
      <c r="S14" s="346"/>
      <c r="T14" s="346"/>
      <c r="U14" s="346"/>
      <c r="V14" s="346"/>
    </row>
    <row r="15" spans="2:22" ht="16.5" thickBot="1" x14ac:dyDescent="0.3">
      <c r="B15" s="1156"/>
      <c r="C15" s="2928"/>
      <c r="D15" s="1900" t="str">
        <f>D136</f>
        <v/>
      </c>
      <c r="E15" s="1989">
        <f>I136</f>
        <v>0</v>
      </c>
      <c r="F15" s="2032"/>
      <c r="G15" s="2937"/>
      <c r="H15" s="2921" t="str">
        <f>IF(E15=0,"",(IF(D15=PRODUÇÃO!$B$9,PRODUÇÃO!$G$9,IF(D15=PRODUÇÃO!$B$10,PRODUÇÃO!$G$10,IF(D15=PRODUÇÃO!$B$11,PRODUÇÃO!$G$11,IF(D15=PRODUÇÃO!$B$12,PRODUÇÃO!$G$12,IF(D15=PRODUÇÃO!$B$13,PRODUÇÃO!$G$13)))))-E15*F15)/E15)</f>
        <v/>
      </c>
      <c r="I15" s="2922"/>
      <c r="J15" s="1890"/>
      <c r="K15" s="1890"/>
      <c r="L15" s="1890"/>
      <c r="M15" s="1890"/>
      <c r="N15" s="1890"/>
      <c r="O15" s="1890"/>
      <c r="P15" s="1896" t="str">
        <f>IF(E15=0,"",IF(AND(F15&lt;&gt;0,G152&lt;&gt;I157),"ERRO - custo digitado em duplicidade",""))</f>
        <v/>
      </c>
      <c r="Q15" s="346"/>
      <c r="R15" s="346"/>
      <c r="S15" s="346"/>
      <c r="T15" s="346"/>
      <c r="U15" s="346"/>
      <c r="V15" s="346"/>
    </row>
    <row r="16" spans="2:22" ht="16.5" thickTop="1" x14ac:dyDescent="0.25">
      <c r="B16" s="1156"/>
      <c r="C16" s="2929" t="s">
        <v>889</v>
      </c>
      <c r="D16" s="1901">
        <f>D159</f>
        <v>0</v>
      </c>
      <c r="E16" s="1987">
        <f>I159</f>
        <v>0</v>
      </c>
      <c r="F16" s="2030"/>
      <c r="G16" s="2938">
        <f>IF(SUM(E16:E23)=0,0,(E16*F16+E17*F17+E18*F18+E19*F19+E20*F20+E21*F21+E22*F22+E23*F23)/SUM(E16:E23))</f>
        <v>0</v>
      </c>
      <c r="H16" s="1986"/>
      <c r="I16" s="2023" t="str">
        <f>IF(E16=0,"",IF(AND(F16&lt;&gt;0,G175&lt;&gt;I180),"ERRO - custo digitado em duplicidade",""))</f>
        <v/>
      </c>
      <c r="J16" s="1890"/>
      <c r="K16" s="1890"/>
      <c r="L16" s="1890"/>
      <c r="M16" s="1890"/>
      <c r="N16" s="1890"/>
      <c r="O16" s="1890"/>
      <c r="P16" s="2026"/>
      <c r="Q16" s="346"/>
      <c r="R16" s="346"/>
      <c r="S16" s="346"/>
      <c r="T16" s="346"/>
      <c r="U16" s="346"/>
      <c r="V16" s="346"/>
    </row>
    <row r="17" spans="2:22" ht="15.75" x14ac:dyDescent="0.25">
      <c r="B17" s="1156"/>
      <c r="C17" s="2930"/>
      <c r="D17" s="1899">
        <f>D182</f>
        <v>0</v>
      </c>
      <c r="E17" s="1988">
        <f>I182</f>
        <v>0</v>
      </c>
      <c r="F17" s="2031"/>
      <c r="G17" s="2939"/>
      <c r="H17" s="1986"/>
      <c r="I17" s="2023" t="str">
        <f>IF(E17=0,"",IF(AND(F17&lt;&gt;0,G198&lt;&gt;I203),"ERRO - custo digitado em duplicidade",""))</f>
        <v/>
      </c>
      <c r="J17" s="1890"/>
      <c r="K17" s="1890"/>
      <c r="L17" s="1890"/>
      <c r="M17" s="1890"/>
      <c r="N17" s="1890"/>
      <c r="O17" s="1890"/>
      <c r="P17" s="2026"/>
      <c r="Q17" s="346"/>
      <c r="R17" s="346"/>
      <c r="S17" s="346"/>
      <c r="T17" s="346"/>
      <c r="U17" s="346"/>
      <c r="V17" s="346"/>
    </row>
    <row r="18" spans="2:22" ht="15.75" x14ac:dyDescent="0.25">
      <c r="B18" s="1156"/>
      <c r="C18" s="2930"/>
      <c r="D18" s="1899"/>
      <c r="E18" s="1988"/>
      <c r="F18" s="2031"/>
      <c r="G18" s="2939"/>
      <c r="H18" s="1986"/>
      <c r="I18" s="2023" t="str">
        <f>IF(E18=0,"",IF(AND(F18&lt;&gt;0,G222&lt;&gt;I227),"ERRO - custo digitado em duplicidade",""))</f>
        <v/>
      </c>
      <c r="J18" s="1890"/>
      <c r="K18" s="1890"/>
      <c r="L18" s="1890"/>
      <c r="M18" s="1890"/>
      <c r="N18" s="1890"/>
      <c r="O18" s="1890"/>
      <c r="P18" s="2026"/>
      <c r="Q18" s="346"/>
      <c r="R18" s="346"/>
      <c r="S18" s="346"/>
      <c r="T18" s="346"/>
      <c r="U18" s="346"/>
      <c r="V18" s="346"/>
    </row>
    <row r="19" spans="2:22" ht="15.75" x14ac:dyDescent="0.25">
      <c r="B19" s="1156"/>
      <c r="C19" s="2930"/>
      <c r="D19" s="1899">
        <f>D230</f>
        <v>0</v>
      </c>
      <c r="E19" s="1988">
        <f>I230</f>
        <v>0</v>
      </c>
      <c r="F19" s="2031"/>
      <c r="G19" s="2939"/>
      <c r="H19" s="1986"/>
      <c r="I19" s="2023" t="str">
        <f>IF(E19=0,"",IF(AND(F19&lt;&gt;0,G236&lt;&gt;I248),"ERRO - custo digitado em duplicidade",""))</f>
        <v/>
      </c>
      <c r="J19" s="1890"/>
      <c r="K19" s="1890"/>
      <c r="L19" s="1890"/>
      <c r="M19" s="1890"/>
      <c r="N19" s="1890"/>
      <c r="O19" s="1890"/>
      <c r="P19" s="2026"/>
      <c r="Q19" s="346"/>
      <c r="R19" s="346"/>
      <c r="S19" s="346"/>
      <c r="T19" s="346"/>
      <c r="U19" s="346"/>
      <c r="V19" s="346"/>
    </row>
    <row r="20" spans="2:22" ht="15.75" x14ac:dyDescent="0.25">
      <c r="B20" s="1156"/>
      <c r="C20" s="2930"/>
      <c r="D20" s="1899">
        <f>D251</f>
        <v>0</v>
      </c>
      <c r="E20" s="1988">
        <f>I251</f>
        <v>0</v>
      </c>
      <c r="F20" s="2031"/>
      <c r="G20" s="2939"/>
      <c r="H20" s="1986"/>
      <c r="I20" s="2023" t="str">
        <f>IF(E20=0,"",IF(AND(F20&lt;&gt;0,G257&lt;&gt;I269),"ERRO - custo digitado em duplicidade",""))</f>
        <v/>
      </c>
      <c r="J20" s="1890"/>
      <c r="K20" s="1890"/>
      <c r="L20" s="1890"/>
      <c r="M20" s="1890"/>
      <c r="N20" s="1890"/>
      <c r="O20" s="1890"/>
      <c r="P20" s="2026"/>
      <c r="Q20" s="346"/>
      <c r="R20" s="346"/>
      <c r="S20" s="346"/>
      <c r="T20" s="346"/>
      <c r="U20" s="346"/>
      <c r="V20" s="346"/>
    </row>
    <row r="21" spans="2:22" ht="15.75" x14ac:dyDescent="0.25">
      <c r="B21" s="1156"/>
      <c r="C21" s="2930"/>
      <c r="D21" s="1899" t="str">
        <f>D272</f>
        <v>sobressemeadura</v>
      </c>
      <c r="E21" s="1988">
        <f>I272</f>
        <v>0</v>
      </c>
      <c r="F21" s="2031"/>
      <c r="G21" s="2939"/>
      <c r="H21" s="1986"/>
      <c r="I21" s="2023" t="str">
        <f>IF(E21=0,"",IF(AND(F21&lt;&gt;0,G283&lt;&gt;I290),"ERRO - custo digitado em duplicidade",""))</f>
        <v/>
      </c>
      <c r="J21" s="1890"/>
      <c r="K21" s="1890"/>
      <c r="L21" s="1890"/>
      <c r="M21" s="1890"/>
      <c r="N21" s="1890"/>
      <c r="O21" s="1890"/>
      <c r="P21" s="2026"/>
      <c r="Q21" s="346"/>
      <c r="R21" s="346"/>
      <c r="S21" s="346"/>
      <c r="T21" s="346"/>
      <c r="U21" s="346"/>
      <c r="V21" s="346"/>
    </row>
    <row r="22" spans="2:22" ht="15.75" x14ac:dyDescent="0.25">
      <c r="B22" s="1156"/>
      <c r="C22" s="2930"/>
      <c r="D22" s="1899">
        <f>D293</f>
        <v>0</v>
      </c>
      <c r="E22" s="1988">
        <f>I293</f>
        <v>0</v>
      </c>
      <c r="F22" s="2031"/>
      <c r="G22" s="2939"/>
      <c r="H22" s="1986"/>
      <c r="I22" s="2023" t="str">
        <f>IF(E22=0,"",IF(AND(F22&lt;&gt;0,G304&lt;&gt;I311),"ERRO - custo digitado em duplicidade",""))</f>
        <v/>
      </c>
      <c r="J22" s="1890"/>
      <c r="K22" s="1890"/>
      <c r="L22" s="1890"/>
      <c r="M22" s="1890"/>
      <c r="N22" s="1890"/>
      <c r="O22" s="1890"/>
      <c r="P22" s="2026"/>
      <c r="Q22" s="346"/>
      <c r="R22" s="346"/>
      <c r="S22" s="346"/>
      <c r="T22" s="346"/>
      <c r="U22" s="346"/>
      <c r="V22" s="346"/>
    </row>
    <row r="23" spans="2:22" ht="16.5" thickBot="1" x14ac:dyDescent="0.3">
      <c r="B23" s="1156"/>
      <c r="C23" s="2931"/>
      <c r="D23" s="1900">
        <f>D316</f>
        <v>0</v>
      </c>
      <c r="E23" s="1989">
        <f>I316</f>
        <v>0</v>
      </c>
      <c r="F23" s="2032"/>
      <c r="G23" s="2940"/>
      <c r="H23" s="1986"/>
      <c r="I23" s="2023" t="str">
        <f>IF(E23=0,"",IF(AND(F23&lt;&gt;0,G327&lt;&gt;I334),"ERRO - custo digitado em duplicidade",""))</f>
        <v/>
      </c>
      <c r="J23" s="1890"/>
      <c r="K23" s="1890"/>
      <c r="L23" s="1890"/>
      <c r="M23" s="1890"/>
      <c r="N23" s="1890"/>
      <c r="O23" s="1890"/>
      <c r="P23" s="2026"/>
      <c r="Q23" s="346"/>
      <c r="R23" s="346"/>
      <c r="S23" s="346"/>
      <c r="T23" s="346"/>
      <c r="U23" s="346"/>
      <c r="V23" s="346"/>
    </row>
    <row r="24" spans="2:22" ht="16.5" thickTop="1" x14ac:dyDescent="0.25">
      <c r="B24" s="1156"/>
      <c r="C24" s="2932" t="s">
        <v>922</v>
      </c>
      <c r="D24" s="1902">
        <f>D337</f>
        <v>0</v>
      </c>
      <c r="E24" s="1987">
        <f>I337</f>
        <v>0</v>
      </c>
      <c r="F24" s="2030"/>
      <c r="G24" s="2941">
        <f>IF(SUM(E24:E27)=0,0,(E24*F24+E25*F25+E26*F26+E27*F27)/SUM(E24:E27))</f>
        <v>0</v>
      </c>
      <c r="H24" s="1986"/>
      <c r="I24" s="2023" t="str">
        <f>IF(E24=0,"",IF(AND(F24&lt;&gt;0,G355&lt;&gt;I359),"ERRO - custo digitado em duplicidade",""))</f>
        <v/>
      </c>
      <c r="J24" s="1890"/>
      <c r="K24" s="1890"/>
      <c r="L24" s="1890"/>
      <c r="M24" s="1890"/>
      <c r="N24" s="1890"/>
      <c r="O24" s="1890"/>
      <c r="P24" s="2026"/>
      <c r="Q24" s="346"/>
      <c r="R24" s="346"/>
      <c r="S24" s="346"/>
      <c r="T24" s="346"/>
      <c r="U24" s="346"/>
      <c r="V24" s="346"/>
    </row>
    <row r="25" spans="2:22" ht="15.75" x14ac:dyDescent="0.25">
      <c r="B25" s="1156"/>
      <c r="C25" s="2933"/>
      <c r="D25" s="1899">
        <f>D362</f>
        <v>0</v>
      </c>
      <c r="E25" s="1988">
        <f>I362</f>
        <v>0</v>
      </c>
      <c r="F25" s="2031"/>
      <c r="G25" s="2942"/>
      <c r="H25" s="1986"/>
      <c r="I25" s="2023"/>
      <c r="J25" s="1890"/>
      <c r="K25" s="1890"/>
      <c r="L25" s="1890"/>
      <c r="M25" s="1890"/>
      <c r="N25" s="1890"/>
      <c r="O25" s="1890"/>
      <c r="P25" s="2026"/>
      <c r="Q25" s="346"/>
      <c r="R25" s="346"/>
      <c r="S25" s="346"/>
      <c r="T25" s="346"/>
      <c r="U25" s="346"/>
      <c r="V25" s="346"/>
    </row>
    <row r="26" spans="2:22" ht="15.75" x14ac:dyDescent="0.25">
      <c r="B26" s="1156"/>
      <c r="C26" s="2933"/>
      <c r="D26" s="2059">
        <f>D388</f>
        <v>0</v>
      </c>
      <c r="E26" s="2060">
        <f>I388</f>
        <v>0</v>
      </c>
      <c r="F26" s="2061"/>
      <c r="G26" s="2942"/>
      <c r="H26" s="1986"/>
      <c r="I26" s="2023"/>
      <c r="J26" s="1890"/>
      <c r="K26" s="1890"/>
      <c r="L26" s="1890"/>
      <c r="M26" s="1890"/>
      <c r="N26" s="1890"/>
      <c r="O26" s="1890"/>
      <c r="P26" s="2026"/>
      <c r="Q26" s="346"/>
      <c r="R26" s="346"/>
      <c r="S26" s="346"/>
      <c r="T26" s="346"/>
      <c r="U26" s="346"/>
      <c r="V26" s="346"/>
    </row>
    <row r="27" spans="2:22" ht="16.5" thickBot="1" x14ac:dyDescent="0.3">
      <c r="B27" s="1156"/>
      <c r="C27" s="2934"/>
      <c r="D27" s="1903">
        <f>SOLO!G34</f>
        <v>0</v>
      </c>
      <c r="E27" s="1989">
        <f>I206</f>
        <v>0</v>
      </c>
      <c r="F27" s="2032"/>
      <c r="G27" s="2943"/>
      <c r="H27" s="1986"/>
      <c r="I27" s="2023" t="str">
        <f>IF(E25=0,"",IF(AND(F25&lt;&gt;0,G380&lt;&gt;I384),"ERRO - custo digitado em duplicidade",""))</f>
        <v/>
      </c>
      <c r="J27" s="1890"/>
      <c r="K27" s="1890"/>
      <c r="L27" s="1890"/>
      <c r="M27" s="1890"/>
      <c r="N27" s="1890"/>
      <c r="O27" s="1890"/>
      <c r="P27" s="2026"/>
      <c r="Q27" s="346"/>
      <c r="R27" s="346"/>
      <c r="S27" s="346"/>
      <c r="T27" s="346"/>
      <c r="U27" s="346"/>
      <c r="V27" s="346"/>
    </row>
    <row r="28" spans="2:22" ht="21.75" customHeight="1" thickTop="1" x14ac:dyDescent="0.25">
      <c r="B28" s="1156"/>
      <c r="C28" s="1172"/>
      <c r="D28" s="1894"/>
      <c r="E28" s="1894"/>
      <c r="F28" s="1894"/>
      <c r="G28" s="1172"/>
      <c r="H28" s="2022"/>
      <c r="I28" s="345"/>
      <c r="J28" s="1890"/>
      <c r="K28" s="1890"/>
      <c r="L28" s="1890"/>
      <c r="M28" s="1890"/>
      <c r="N28" s="1890"/>
      <c r="O28" s="1890"/>
      <c r="P28" s="2026"/>
      <c r="Q28" s="346"/>
      <c r="R28" s="346"/>
      <c r="S28" s="346"/>
      <c r="T28" s="346"/>
      <c r="U28" s="346"/>
      <c r="V28" s="346"/>
    </row>
    <row r="29" spans="2:22" ht="16.5" thickBot="1" x14ac:dyDescent="0.3">
      <c r="B29" s="1161"/>
      <c r="C29" s="1845"/>
      <c r="D29" s="1845"/>
      <c r="E29" s="1845"/>
      <c r="F29" s="1845"/>
      <c r="G29" s="1845"/>
      <c r="H29" s="1162"/>
      <c r="I29" s="1162"/>
      <c r="J29" s="2027"/>
      <c r="K29" s="2027"/>
      <c r="L29" s="2027"/>
      <c r="M29" s="2027"/>
      <c r="N29" s="2027"/>
      <c r="O29" s="2027"/>
      <c r="P29" s="2028"/>
      <c r="Q29" s="346"/>
      <c r="R29" s="346"/>
      <c r="S29" s="346"/>
      <c r="T29" s="346"/>
      <c r="U29" s="346"/>
      <c r="V29" s="346"/>
    </row>
    <row r="30" spans="2:22" ht="15.75" x14ac:dyDescent="0.25">
      <c r="C30" s="1844"/>
      <c r="D30" s="1844"/>
      <c r="E30" s="1844"/>
      <c r="F30" s="1844"/>
      <c r="G30" s="1844"/>
      <c r="H30" s="345"/>
      <c r="I30" s="345"/>
      <c r="J30" s="1890"/>
      <c r="K30" s="1890"/>
      <c r="L30" s="1890"/>
      <c r="M30" s="1890"/>
      <c r="N30" s="1890"/>
      <c r="O30" s="1890"/>
      <c r="P30" s="1139"/>
      <c r="Q30" s="346"/>
      <c r="R30" s="346"/>
      <c r="S30" s="346"/>
      <c r="T30" s="346"/>
      <c r="U30" s="346"/>
      <c r="V30" s="346"/>
    </row>
    <row r="31" spans="2:22" ht="16.5" thickBot="1" x14ac:dyDescent="0.3">
      <c r="C31" s="1844"/>
      <c r="D31" s="1844"/>
      <c r="E31" s="1844"/>
      <c r="F31" s="1844"/>
      <c r="G31" s="1844"/>
      <c r="H31" s="345"/>
      <c r="I31" s="345"/>
      <c r="J31" s="1890"/>
      <c r="K31" s="1890"/>
      <c r="L31" s="1890"/>
      <c r="M31" s="1890"/>
      <c r="N31" s="1890"/>
      <c r="O31" s="1890"/>
      <c r="P31" s="1139"/>
      <c r="Q31" s="346"/>
      <c r="R31" s="346"/>
      <c r="S31" s="346"/>
      <c r="T31" s="346"/>
      <c r="U31" s="346"/>
      <c r="V31" s="346"/>
    </row>
    <row r="32" spans="2:22" ht="24.75" customHeight="1" thickBot="1" x14ac:dyDescent="0.25">
      <c r="B32" s="2923" t="s">
        <v>913</v>
      </c>
      <c r="C32" s="2924"/>
      <c r="D32" s="2924"/>
      <c r="E32" s="2924"/>
      <c r="F32" s="2924"/>
      <c r="G32" s="2924"/>
      <c r="H32" s="2924"/>
      <c r="I32" s="2925"/>
      <c r="P32" s="1139"/>
      <c r="Q32" s="346"/>
      <c r="R32" s="346"/>
      <c r="S32" s="346"/>
      <c r="T32" s="346"/>
      <c r="U32" s="346"/>
      <c r="V32" s="346"/>
    </row>
    <row r="33" spans="2:22" ht="24.75" customHeight="1" thickBot="1" x14ac:dyDescent="0.25">
      <c r="B33" s="2596"/>
      <c r="C33" s="2596"/>
      <c r="D33" s="2596"/>
      <c r="E33" s="2596"/>
      <c r="F33" s="2596"/>
      <c r="G33" s="2596"/>
      <c r="H33" s="2596"/>
      <c r="I33" s="2596"/>
      <c r="P33" s="1139"/>
      <c r="Q33" s="346"/>
      <c r="R33" s="346"/>
      <c r="S33" s="346"/>
      <c r="T33" s="346"/>
      <c r="U33" s="346"/>
      <c r="V33" s="346"/>
    </row>
    <row r="34" spans="2:22" ht="24.75" customHeight="1" thickBot="1" x14ac:dyDescent="0.25">
      <c r="B34" s="2596"/>
      <c r="C34" s="2590"/>
      <c r="D34" s="2952" t="s">
        <v>1070</v>
      </c>
      <c r="E34" s="2953"/>
      <c r="F34" s="2954"/>
      <c r="G34" s="2596"/>
      <c r="H34" s="2596"/>
      <c r="I34" s="2596"/>
      <c r="P34" s="1139"/>
      <c r="Q34" s="346"/>
      <c r="R34" s="346"/>
      <c r="S34" s="346"/>
      <c r="T34" s="346"/>
      <c r="U34" s="346"/>
      <c r="V34" s="346"/>
    </row>
    <row r="35" spans="2:22" ht="24.75" customHeight="1" x14ac:dyDescent="0.2">
      <c r="B35" s="2596"/>
      <c r="C35" s="2596"/>
      <c r="D35" s="2596"/>
      <c r="E35" s="2596"/>
      <c r="F35" s="2596"/>
      <c r="G35" s="2596"/>
      <c r="H35" s="2596"/>
      <c r="I35" s="2596"/>
      <c r="P35" s="1139"/>
      <c r="Q35" s="346"/>
      <c r="R35" s="346"/>
      <c r="S35" s="346"/>
      <c r="T35" s="346"/>
      <c r="U35" s="346"/>
      <c r="V35" s="346"/>
    </row>
    <row r="36" spans="2:22" ht="24.75" customHeight="1" x14ac:dyDescent="0.2">
      <c r="B36" s="2596"/>
      <c r="C36" s="2596"/>
      <c r="D36" s="2596"/>
      <c r="E36" s="2596"/>
      <c r="F36" s="2596"/>
      <c r="G36" s="2596"/>
      <c r="H36" s="2596"/>
      <c r="I36" s="2596"/>
      <c r="P36" s="1139"/>
      <c r="Q36" s="346"/>
      <c r="R36" s="346"/>
      <c r="S36" s="346"/>
      <c r="T36" s="346"/>
      <c r="U36" s="346"/>
      <c r="V36" s="346"/>
    </row>
    <row r="37" spans="2:22" s="1138" customFormat="1" x14ac:dyDescent="0.2"/>
    <row r="38" spans="2:22" s="1138" customFormat="1" x14ac:dyDescent="0.2"/>
    <row r="39" spans="2:22" ht="17.25" customHeight="1" thickBot="1" x14ac:dyDescent="0.25">
      <c r="C39" s="2591" t="s">
        <v>110</v>
      </c>
      <c r="D39" s="1138"/>
      <c r="E39" s="1140"/>
      <c r="F39" s="345"/>
      <c r="G39" s="345"/>
      <c r="H39" s="345"/>
      <c r="I39" s="345"/>
      <c r="J39" s="345"/>
      <c r="K39" s="345"/>
      <c r="L39" s="345"/>
      <c r="M39" s="345"/>
      <c r="N39" s="345"/>
      <c r="O39" s="345"/>
      <c r="P39" s="1139"/>
      <c r="Q39" s="346"/>
      <c r="R39" s="346"/>
      <c r="S39" s="346"/>
      <c r="T39" s="346"/>
      <c r="U39" s="346"/>
      <c r="V39" s="346"/>
    </row>
    <row r="40" spans="2:22" ht="24.75" customHeight="1" thickBot="1" x14ac:dyDescent="0.25">
      <c r="C40" s="2627"/>
      <c r="D40" s="2597" t="str">
        <f>PRODUÇÃO!B9</f>
        <v/>
      </c>
      <c r="E40" s="2629"/>
      <c r="F40" s="2628"/>
      <c r="G40" s="2630" t="s">
        <v>114</v>
      </c>
      <c r="H40" s="2599">
        <f>PRODUÇÃO!C9</f>
        <v>0</v>
      </c>
      <c r="I40" s="2598"/>
      <c r="J40" s="2961" t="s">
        <v>115</v>
      </c>
      <c r="K40" s="2961"/>
      <c r="L40" s="2962"/>
      <c r="M40" s="790"/>
      <c r="N40" s="1141"/>
      <c r="O40" s="1142"/>
      <c r="P40" s="1139"/>
      <c r="Q40" s="346"/>
      <c r="R40" s="346"/>
      <c r="S40" s="346"/>
      <c r="T40" s="346"/>
      <c r="U40" s="346"/>
      <c r="V40" s="346"/>
    </row>
    <row r="41" spans="2:22" ht="44.45" customHeight="1" thickBot="1" x14ac:dyDescent="0.25">
      <c r="B41" s="1143"/>
      <c r="C41" s="2587" t="s">
        <v>116</v>
      </c>
      <c r="D41" s="2588" t="s">
        <v>1066</v>
      </c>
      <c r="E41" s="2588" t="s">
        <v>1067</v>
      </c>
      <c r="F41" s="2589" t="s">
        <v>1068</v>
      </c>
      <c r="G41" s="2588" t="s">
        <v>771</v>
      </c>
      <c r="H41" s="2957" t="s">
        <v>118</v>
      </c>
      <c r="I41" s="2958"/>
      <c r="J41" s="2592" t="s">
        <v>119</v>
      </c>
      <c r="K41" s="1144" t="s">
        <v>120</v>
      </c>
      <c r="L41" s="1145" t="s">
        <v>121</v>
      </c>
      <c r="M41" s="1146" t="s">
        <v>122</v>
      </c>
      <c r="N41" s="1147" t="s">
        <v>123</v>
      </c>
      <c r="O41" s="1148" t="s">
        <v>124</v>
      </c>
      <c r="P41" s="1139"/>
      <c r="Q41" s="346"/>
      <c r="R41" s="346"/>
      <c r="S41" s="346"/>
      <c r="T41" s="346"/>
      <c r="U41" s="346"/>
      <c r="V41" s="346"/>
    </row>
    <row r="42" spans="2:22" ht="13.5" thickBot="1" x14ac:dyDescent="0.25">
      <c r="B42" s="2582">
        <v>1</v>
      </c>
      <c r="C42" s="2594" t="s">
        <v>1054</v>
      </c>
      <c r="D42" s="2698"/>
      <c r="E42" s="2699"/>
      <c r="F42" s="2613">
        <f>PRODUÇÃO!I9</f>
        <v>0</v>
      </c>
      <c r="G42" s="2700"/>
      <c r="H42" s="2601">
        <f t="shared" ref="H42:H59" si="0">F42*G42</f>
        <v>0</v>
      </c>
      <c r="I42" s="2602"/>
      <c r="J42" s="2593"/>
      <c r="K42" s="1149"/>
      <c r="L42" s="1149"/>
      <c r="M42" s="1150">
        <f t="shared" ref="M42:M59" si="1">F42*J42/100</f>
        <v>0</v>
      </c>
      <c r="N42" s="1151">
        <f t="shared" ref="N42:N59" si="2">K42*F42/100</f>
        <v>0</v>
      </c>
      <c r="O42" s="1151">
        <f t="shared" ref="O42:O59" si="3">F42*L42/100</f>
        <v>0</v>
      </c>
      <c r="P42" s="1139"/>
      <c r="Q42" s="346"/>
      <c r="R42" s="346"/>
      <c r="S42" s="346"/>
      <c r="T42" s="346"/>
      <c r="U42" s="346"/>
      <c r="V42" s="346"/>
    </row>
    <row r="43" spans="2:22" x14ac:dyDescent="0.2">
      <c r="B43" s="2583">
        <f>B42+1</f>
        <v>2</v>
      </c>
      <c r="C43" s="2586" t="s">
        <v>1055</v>
      </c>
      <c r="D43" s="2698"/>
      <c r="E43" s="2444"/>
      <c r="F43" s="2614">
        <f t="shared" ref="F43:F59" si="4">E43*H$40</f>
        <v>0</v>
      </c>
      <c r="G43" s="2443"/>
      <c r="H43" s="2601">
        <f t="shared" si="0"/>
        <v>0</v>
      </c>
      <c r="I43" s="2602"/>
      <c r="J43" s="1173"/>
      <c r="K43" s="1152"/>
      <c r="L43" s="1152"/>
      <c r="M43" s="1150">
        <f t="shared" si="1"/>
        <v>0</v>
      </c>
      <c r="N43" s="1151">
        <f t="shared" si="2"/>
        <v>0</v>
      </c>
      <c r="O43" s="1151">
        <f t="shared" si="3"/>
        <v>0</v>
      </c>
      <c r="P43" s="1139"/>
      <c r="Q43" s="346"/>
      <c r="R43" s="346"/>
      <c r="S43" s="346"/>
      <c r="T43" s="346"/>
      <c r="U43" s="346"/>
      <c r="V43" s="346"/>
    </row>
    <row r="44" spans="2:22" x14ac:dyDescent="0.2">
      <c r="B44" s="2583">
        <f t="shared" ref="B44:B59" si="5">B43+1</f>
        <v>3</v>
      </c>
      <c r="C44" s="2586" t="s">
        <v>1056</v>
      </c>
      <c r="D44" s="2698"/>
      <c r="E44" s="2698"/>
      <c r="F44" s="2614">
        <f t="shared" si="4"/>
        <v>0</v>
      </c>
      <c r="G44" s="2443"/>
      <c r="H44" s="2601">
        <f t="shared" si="0"/>
        <v>0</v>
      </c>
      <c r="I44" s="2602"/>
      <c r="J44" s="1173"/>
      <c r="K44" s="1152"/>
      <c r="L44" s="1152"/>
      <c r="M44" s="1150">
        <f t="shared" si="1"/>
        <v>0</v>
      </c>
      <c r="N44" s="1151">
        <f t="shared" si="2"/>
        <v>0</v>
      </c>
      <c r="O44" s="1151">
        <f t="shared" si="3"/>
        <v>0</v>
      </c>
      <c r="P44" s="1139"/>
      <c r="Q44" s="346"/>
      <c r="R44" s="346"/>
      <c r="S44" s="346"/>
      <c r="T44" s="346"/>
      <c r="U44" s="346"/>
      <c r="V44" s="346"/>
    </row>
    <row r="45" spans="2:22" x14ac:dyDescent="0.2">
      <c r="B45" s="2583">
        <f t="shared" si="5"/>
        <v>4</v>
      </c>
      <c r="C45" s="2595" t="s">
        <v>675</v>
      </c>
      <c r="D45" s="2698"/>
      <c r="E45" s="2698"/>
      <c r="F45" s="2614">
        <f t="shared" si="4"/>
        <v>0</v>
      </c>
      <c r="G45" s="2443"/>
      <c r="H45" s="2601">
        <f t="shared" si="0"/>
        <v>0</v>
      </c>
      <c r="I45" s="2602"/>
      <c r="J45" s="1173"/>
      <c r="K45" s="1152"/>
      <c r="L45" s="1152"/>
      <c r="M45" s="1150">
        <f t="shared" si="1"/>
        <v>0</v>
      </c>
      <c r="N45" s="1151">
        <f t="shared" si="2"/>
        <v>0</v>
      </c>
      <c r="O45" s="1151">
        <f t="shared" si="3"/>
        <v>0</v>
      </c>
      <c r="P45" s="1139"/>
      <c r="Q45" s="346"/>
      <c r="R45" s="346"/>
      <c r="S45" s="346"/>
      <c r="T45" s="346"/>
      <c r="U45" s="346"/>
      <c r="V45" s="346"/>
    </row>
    <row r="46" spans="2:22" x14ac:dyDescent="0.2">
      <c r="B46" s="2583">
        <f t="shared" si="5"/>
        <v>5</v>
      </c>
      <c r="C46" s="2586" t="s">
        <v>1057</v>
      </c>
      <c r="D46" s="2698"/>
      <c r="E46" s="2698"/>
      <c r="F46" s="2614">
        <f t="shared" si="4"/>
        <v>0</v>
      </c>
      <c r="G46" s="2443"/>
      <c r="H46" s="2601">
        <f t="shared" si="0"/>
        <v>0</v>
      </c>
      <c r="I46" s="2602"/>
      <c r="J46" s="1173"/>
      <c r="K46" s="1152"/>
      <c r="L46" s="1152"/>
      <c r="M46" s="1150">
        <f t="shared" si="1"/>
        <v>0</v>
      </c>
      <c r="N46" s="1151">
        <f t="shared" si="2"/>
        <v>0</v>
      </c>
      <c r="O46" s="1151">
        <f t="shared" si="3"/>
        <v>0</v>
      </c>
      <c r="P46" s="1139"/>
      <c r="Q46" s="346"/>
      <c r="R46" s="346"/>
      <c r="S46" s="346"/>
      <c r="T46" s="346"/>
      <c r="U46" s="346"/>
      <c r="V46" s="346"/>
    </row>
    <row r="47" spans="2:22" x14ac:dyDescent="0.2">
      <c r="B47" s="2583">
        <f t="shared" si="5"/>
        <v>6</v>
      </c>
      <c r="C47" s="2586" t="s">
        <v>1058</v>
      </c>
      <c r="D47" s="2698"/>
      <c r="E47" s="2698"/>
      <c r="F47" s="2614">
        <f t="shared" si="4"/>
        <v>0</v>
      </c>
      <c r="G47" s="2443"/>
      <c r="H47" s="2601">
        <f t="shared" si="0"/>
        <v>0</v>
      </c>
      <c r="I47" s="2602"/>
      <c r="J47" s="1173"/>
      <c r="K47" s="1152"/>
      <c r="L47" s="1152"/>
      <c r="M47" s="1150">
        <f t="shared" si="1"/>
        <v>0</v>
      </c>
      <c r="N47" s="1151">
        <f t="shared" si="2"/>
        <v>0</v>
      </c>
      <c r="O47" s="1151">
        <f t="shared" si="3"/>
        <v>0</v>
      </c>
      <c r="P47" s="1139"/>
      <c r="Q47" s="346"/>
      <c r="R47" s="346"/>
      <c r="S47" s="346"/>
      <c r="T47" s="346"/>
      <c r="U47" s="346"/>
      <c r="V47" s="346"/>
    </row>
    <row r="48" spans="2:22" x14ac:dyDescent="0.2">
      <c r="B48" s="2583">
        <f t="shared" si="5"/>
        <v>7</v>
      </c>
      <c r="C48" s="2586" t="s">
        <v>1059</v>
      </c>
      <c r="D48" s="2698"/>
      <c r="E48" s="2698"/>
      <c r="F48" s="2614">
        <f t="shared" si="4"/>
        <v>0</v>
      </c>
      <c r="G48" s="2443"/>
      <c r="H48" s="2601">
        <f t="shared" si="0"/>
        <v>0</v>
      </c>
      <c r="I48" s="2602"/>
      <c r="J48" s="1173"/>
      <c r="K48" s="1152"/>
      <c r="L48" s="1152"/>
      <c r="M48" s="1150">
        <f t="shared" si="1"/>
        <v>0</v>
      </c>
      <c r="N48" s="1151">
        <f t="shared" si="2"/>
        <v>0</v>
      </c>
      <c r="O48" s="1151">
        <f t="shared" si="3"/>
        <v>0</v>
      </c>
      <c r="P48" s="1139"/>
      <c r="Q48" s="346"/>
      <c r="R48" s="346"/>
      <c r="S48" s="346"/>
      <c r="T48" s="346"/>
      <c r="U48" s="346"/>
      <c r="V48" s="346"/>
    </row>
    <row r="49" spans="2:22" x14ac:dyDescent="0.2">
      <c r="B49" s="2583">
        <f t="shared" si="5"/>
        <v>8</v>
      </c>
      <c r="C49" s="2586" t="s">
        <v>1060</v>
      </c>
      <c r="D49" s="2698"/>
      <c r="E49" s="2698"/>
      <c r="F49" s="2614">
        <f t="shared" si="4"/>
        <v>0</v>
      </c>
      <c r="G49" s="2443"/>
      <c r="H49" s="2601">
        <f t="shared" si="0"/>
        <v>0</v>
      </c>
      <c r="I49" s="2602"/>
      <c r="J49" s="1173"/>
      <c r="K49" s="1152"/>
      <c r="L49" s="1152"/>
      <c r="M49" s="1150">
        <f t="shared" si="1"/>
        <v>0</v>
      </c>
      <c r="N49" s="1151">
        <f t="shared" si="2"/>
        <v>0</v>
      </c>
      <c r="O49" s="1151">
        <f t="shared" si="3"/>
        <v>0</v>
      </c>
      <c r="P49" s="1139"/>
      <c r="Q49" s="346"/>
      <c r="R49" s="346"/>
      <c r="S49" s="346"/>
      <c r="T49" s="346"/>
      <c r="U49" s="346"/>
      <c r="V49" s="346"/>
    </row>
    <row r="50" spans="2:22" x14ac:dyDescent="0.2">
      <c r="B50" s="2583">
        <f t="shared" si="5"/>
        <v>9</v>
      </c>
      <c r="C50" s="2586" t="s">
        <v>1061</v>
      </c>
      <c r="D50" s="2698"/>
      <c r="E50" s="2698"/>
      <c r="F50" s="2614">
        <f t="shared" si="4"/>
        <v>0</v>
      </c>
      <c r="G50" s="2443"/>
      <c r="H50" s="2601">
        <f t="shared" si="0"/>
        <v>0</v>
      </c>
      <c r="I50" s="2602"/>
      <c r="J50" s="1173"/>
      <c r="K50" s="1152"/>
      <c r="L50" s="1152"/>
      <c r="M50" s="1150">
        <f t="shared" si="1"/>
        <v>0</v>
      </c>
      <c r="N50" s="1151">
        <f t="shared" si="2"/>
        <v>0</v>
      </c>
      <c r="O50" s="1151">
        <f t="shared" si="3"/>
        <v>0</v>
      </c>
      <c r="P50" s="1139"/>
      <c r="Q50" s="346"/>
      <c r="R50" s="346"/>
      <c r="S50" s="346"/>
      <c r="T50" s="346"/>
      <c r="U50" s="346"/>
      <c r="V50" s="346"/>
    </row>
    <row r="51" spans="2:22" x14ac:dyDescent="0.2">
      <c r="B51" s="2583">
        <f t="shared" si="5"/>
        <v>10</v>
      </c>
      <c r="C51" s="2586" t="s">
        <v>1062</v>
      </c>
      <c r="D51" s="2698"/>
      <c r="E51" s="2698"/>
      <c r="F51" s="2614">
        <f t="shared" si="4"/>
        <v>0</v>
      </c>
      <c r="G51" s="2443"/>
      <c r="H51" s="2601">
        <f t="shared" si="0"/>
        <v>0</v>
      </c>
      <c r="I51" s="2602"/>
      <c r="J51" s="1173"/>
      <c r="K51" s="1152"/>
      <c r="L51" s="1152"/>
      <c r="M51" s="1150">
        <f t="shared" si="1"/>
        <v>0</v>
      </c>
      <c r="N51" s="1151">
        <f t="shared" si="2"/>
        <v>0</v>
      </c>
      <c r="O51" s="1151">
        <f t="shared" si="3"/>
        <v>0</v>
      </c>
      <c r="P51" s="1139"/>
      <c r="Q51" s="346"/>
      <c r="R51" s="346"/>
      <c r="S51" s="346"/>
      <c r="T51" s="346"/>
      <c r="U51" s="346"/>
      <c r="V51" s="346"/>
    </row>
    <row r="52" spans="2:22" x14ac:dyDescent="0.2">
      <c r="B52" s="2583">
        <f t="shared" si="5"/>
        <v>11</v>
      </c>
      <c r="C52" s="2586" t="s">
        <v>1063</v>
      </c>
      <c r="D52" s="2698"/>
      <c r="E52" s="2698"/>
      <c r="F52" s="2614">
        <f t="shared" si="4"/>
        <v>0</v>
      </c>
      <c r="G52" s="2443"/>
      <c r="H52" s="2601">
        <f t="shared" si="0"/>
        <v>0</v>
      </c>
      <c r="I52" s="2602"/>
      <c r="J52" s="1173"/>
      <c r="K52" s="1152"/>
      <c r="L52" s="1152"/>
      <c r="M52" s="1150">
        <f t="shared" si="1"/>
        <v>0</v>
      </c>
      <c r="N52" s="1151">
        <f t="shared" si="2"/>
        <v>0</v>
      </c>
      <c r="O52" s="1151">
        <f t="shared" si="3"/>
        <v>0</v>
      </c>
      <c r="P52" s="1139"/>
      <c r="Q52" s="346"/>
      <c r="R52" s="346"/>
      <c r="S52" s="346"/>
      <c r="T52" s="346"/>
      <c r="U52" s="346"/>
      <c r="V52" s="346"/>
    </row>
    <row r="53" spans="2:22" x14ac:dyDescent="0.2">
      <c r="B53" s="2583">
        <f t="shared" si="5"/>
        <v>12</v>
      </c>
      <c r="C53" s="2586" t="s">
        <v>1064</v>
      </c>
      <c r="D53" s="2698"/>
      <c r="E53" s="2698"/>
      <c r="F53" s="2614">
        <f t="shared" si="4"/>
        <v>0</v>
      </c>
      <c r="G53" s="2443"/>
      <c r="H53" s="2601">
        <f t="shared" si="0"/>
        <v>0</v>
      </c>
      <c r="I53" s="2602"/>
      <c r="J53" s="1173"/>
      <c r="K53" s="1152"/>
      <c r="L53" s="1152"/>
      <c r="M53" s="1150">
        <f t="shared" si="1"/>
        <v>0</v>
      </c>
      <c r="N53" s="1151">
        <f t="shared" si="2"/>
        <v>0</v>
      </c>
      <c r="O53" s="1151">
        <f t="shared" si="3"/>
        <v>0</v>
      </c>
      <c r="P53" s="1139"/>
      <c r="Q53" s="346"/>
      <c r="R53" s="346"/>
      <c r="S53" s="346"/>
      <c r="T53" s="346"/>
      <c r="U53" s="346"/>
      <c r="V53" s="346"/>
    </row>
    <row r="54" spans="2:22" x14ac:dyDescent="0.2">
      <c r="B54" s="2583">
        <f t="shared" si="5"/>
        <v>13</v>
      </c>
      <c r="C54" s="2586" t="s">
        <v>1065</v>
      </c>
      <c r="D54" s="2698"/>
      <c r="E54" s="2698"/>
      <c r="F54" s="2614">
        <f t="shared" si="4"/>
        <v>0</v>
      </c>
      <c r="G54" s="2443"/>
      <c r="H54" s="2601">
        <f t="shared" si="0"/>
        <v>0</v>
      </c>
      <c r="I54" s="2602"/>
      <c r="J54" s="1173"/>
      <c r="K54" s="1152"/>
      <c r="L54" s="1152"/>
      <c r="M54" s="1150">
        <f t="shared" si="1"/>
        <v>0</v>
      </c>
      <c r="N54" s="1151">
        <f t="shared" si="2"/>
        <v>0</v>
      </c>
      <c r="O54" s="1151">
        <f t="shared" si="3"/>
        <v>0</v>
      </c>
      <c r="P54" s="1139"/>
      <c r="Q54" s="346"/>
      <c r="R54" s="346"/>
      <c r="S54" s="346"/>
      <c r="T54" s="346"/>
      <c r="U54" s="346"/>
      <c r="V54" s="346"/>
    </row>
    <row r="55" spans="2:22" ht="13.5" thickBot="1" x14ac:dyDescent="0.25">
      <c r="B55" s="2583">
        <f t="shared" si="5"/>
        <v>14</v>
      </c>
      <c r="C55" s="2586" t="s">
        <v>916</v>
      </c>
      <c r="D55" s="2698"/>
      <c r="E55" s="2698"/>
      <c r="F55" s="2616">
        <f t="shared" si="4"/>
        <v>0</v>
      </c>
      <c r="G55" s="2617"/>
      <c r="H55" s="2603">
        <f t="shared" si="0"/>
        <v>0</v>
      </c>
      <c r="I55" s="2604"/>
      <c r="J55" s="1173"/>
      <c r="K55" s="1152"/>
      <c r="L55" s="1152"/>
      <c r="M55" s="1150">
        <f t="shared" si="1"/>
        <v>0</v>
      </c>
      <c r="N55" s="1151">
        <f t="shared" si="2"/>
        <v>0</v>
      </c>
      <c r="O55" s="1151">
        <f t="shared" si="3"/>
        <v>0</v>
      </c>
      <c r="P55" s="1139"/>
      <c r="Q55" s="346"/>
      <c r="R55" s="346"/>
      <c r="S55" s="346"/>
      <c r="T55" s="346"/>
      <c r="U55" s="346"/>
      <c r="V55" s="346"/>
    </row>
    <row r="56" spans="2:22" ht="13.5" thickBot="1" x14ac:dyDescent="0.25">
      <c r="B56" s="2583">
        <f>B55+1</f>
        <v>15</v>
      </c>
      <c r="C56" s="2609" t="s">
        <v>1069</v>
      </c>
      <c r="D56" s="2631" t="s">
        <v>619</v>
      </c>
      <c r="E56" s="2631">
        <v>1</v>
      </c>
      <c r="F56" s="2618">
        <f>E56*H$40</f>
        <v>0</v>
      </c>
      <c r="G56" s="2619">
        <f>F11</f>
        <v>0</v>
      </c>
      <c r="H56" s="2620">
        <f>F56*G56</f>
        <v>0</v>
      </c>
      <c r="I56" s="2621"/>
      <c r="J56" s="1174"/>
      <c r="K56" s="1153"/>
      <c r="L56" s="1153"/>
      <c r="M56" s="1154"/>
      <c r="N56" s="1155"/>
      <c r="O56" s="1155"/>
      <c r="P56" s="1139"/>
    </row>
    <row r="57" spans="2:22" x14ac:dyDescent="0.2">
      <c r="B57" s="2583">
        <f>B56+1</f>
        <v>16</v>
      </c>
      <c r="C57" s="2610"/>
      <c r="D57" s="2622"/>
      <c r="E57" s="2622"/>
      <c r="F57" s="2623">
        <f t="shared" si="4"/>
        <v>0</v>
      </c>
      <c r="G57" s="2624"/>
      <c r="H57" s="2605">
        <f t="shared" si="0"/>
        <v>0</v>
      </c>
      <c r="I57" s="2606"/>
      <c r="J57" s="1174"/>
      <c r="K57" s="1153"/>
      <c r="L57" s="1153"/>
      <c r="M57" s="1154"/>
      <c r="N57" s="1155"/>
      <c r="O57" s="1155"/>
      <c r="P57" s="1139"/>
    </row>
    <row r="58" spans="2:22" x14ac:dyDescent="0.2">
      <c r="B58" s="2583">
        <f t="shared" si="5"/>
        <v>17</v>
      </c>
      <c r="C58" s="2611"/>
      <c r="D58" s="2444"/>
      <c r="E58" s="2444"/>
      <c r="F58" s="2614">
        <f t="shared" si="4"/>
        <v>0</v>
      </c>
      <c r="G58" s="2443"/>
      <c r="H58" s="2601">
        <f t="shared" si="0"/>
        <v>0</v>
      </c>
      <c r="I58" s="2602"/>
      <c r="J58" s="1174"/>
      <c r="K58" s="1153"/>
      <c r="L58" s="1153"/>
      <c r="M58" s="1154"/>
      <c r="N58" s="1155"/>
      <c r="O58" s="1155"/>
      <c r="P58" s="1139"/>
    </row>
    <row r="59" spans="2:22" ht="13.5" thickBot="1" x14ac:dyDescent="0.25">
      <c r="B59" s="2583">
        <f t="shared" si="5"/>
        <v>18</v>
      </c>
      <c r="C59" s="2612"/>
      <c r="D59" s="2447"/>
      <c r="E59" s="2447"/>
      <c r="F59" s="2625">
        <f t="shared" si="4"/>
        <v>0</v>
      </c>
      <c r="G59" s="2626"/>
      <c r="H59" s="2607">
        <f t="shared" si="0"/>
        <v>0</v>
      </c>
      <c r="I59" s="2608"/>
      <c r="J59" s="1174"/>
      <c r="K59" s="1153"/>
      <c r="L59" s="1153"/>
      <c r="M59" s="1154">
        <f t="shared" si="1"/>
        <v>0</v>
      </c>
      <c r="N59" s="1155">
        <f t="shared" si="2"/>
        <v>0</v>
      </c>
      <c r="O59" s="1155">
        <f t="shared" si="3"/>
        <v>0</v>
      </c>
      <c r="P59" s="1139"/>
    </row>
    <row r="60" spans="2:22" ht="19.5" customHeight="1" thickBot="1" x14ac:dyDescent="0.25">
      <c r="B60" s="2584"/>
      <c r="C60" s="1156"/>
      <c r="D60" s="345"/>
      <c r="E60" s="345"/>
      <c r="F60" s="1844"/>
      <c r="G60" s="2646" t="s">
        <v>434</v>
      </c>
      <c r="H60" s="2632">
        <f>SUM(SUMIF(H42:H59,"&gt;0",H42:H59))</f>
        <v>0</v>
      </c>
      <c r="I60" s="2636"/>
      <c r="J60" s="1157"/>
      <c r="K60" s="1158" t="s">
        <v>125</v>
      </c>
      <c r="L60" s="1158"/>
      <c r="M60" s="1159">
        <f>SUM(M42:M59)</f>
        <v>0</v>
      </c>
      <c r="N60" s="1159">
        <f>SUM(N42:N59)</f>
        <v>0</v>
      </c>
      <c r="O60" s="1160">
        <f>SUM(O42:O59)</f>
        <v>0</v>
      </c>
      <c r="P60" s="1139"/>
    </row>
    <row r="61" spans="2:22" ht="19.5" customHeight="1" thickBot="1" x14ac:dyDescent="0.25">
      <c r="B61" s="2584"/>
      <c r="C61" s="1156"/>
      <c r="D61" s="345"/>
      <c r="E61" s="345"/>
      <c r="F61" s="1844"/>
      <c r="G61" s="2647" t="s">
        <v>126</v>
      </c>
      <c r="H61" s="2633">
        <f>IF(H40=0,0,H60/H40)</f>
        <v>0</v>
      </c>
      <c r="I61" s="2637"/>
      <c r="J61" s="1163"/>
      <c r="K61" s="1164" t="s">
        <v>127</v>
      </c>
      <c r="L61" s="1164"/>
      <c r="M61" s="1165" t="e">
        <f>M60/$H$40</f>
        <v>#DIV/0!</v>
      </c>
      <c r="N61" s="1165" t="e">
        <f>N60/$H$40</f>
        <v>#DIV/0!</v>
      </c>
      <c r="O61" s="1166" t="e">
        <f>O60/$H$40</f>
        <v>#DIV/0!</v>
      </c>
      <c r="P61" s="1139"/>
    </row>
    <row r="62" spans="2:22" x14ac:dyDescent="0.2">
      <c r="B62" s="2584"/>
      <c r="C62" s="1156"/>
      <c r="D62" s="345"/>
      <c r="E62" s="345"/>
      <c r="F62" s="345"/>
      <c r="G62" s="1177"/>
      <c r="H62" s="2634"/>
      <c r="I62" s="2634"/>
      <c r="J62" s="345"/>
      <c r="K62" s="345"/>
      <c r="L62" s="345"/>
      <c r="M62" s="345"/>
      <c r="N62" s="345"/>
      <c r="O62" s="345"/>
      <c r="P62" s="1139"/>
    </row>
    <row r="63" spans="2:22" s="1138" customFormat="1" ht="13.5" thickBot="1" x14ac:dyDescent="0.25">
      <c r="B63" s="2584"/>
      <c r="C63" s="2635" t="str">
        <f>IF(H64=0,"NÃO preencher o proximo quadro","OBRIGADO PREENCHER ESTE QUADRO")</f>
        <v>NÃO preencher o proximo quadro</v>
      </c>
      <c r="D63" s="1162"/>
      <c r="E63" s="1162"/>
      <c r="F63" s="1162"/>
      <c r="G63" s="1162"/>
      <c r="H63" s="1162"/>
      <c r="I63" s="1162"/>
      <c r="J63" s="345"/>
      <c r="K63" s="345"/>
      <c r="L63" s="345"/>
      <c r="M63" s="345"/>
      <c r="N63" s="345"/>
      <c r="O63" s="345"/>
      <c r="P63" s="1139"/>
      <c r="Q63" s="345"/>
      <c r="R63" s="345"/>
      <c r="S63" s="345"/>
      <c r="T63" s="345"/>
      <c r="U63" s="345"/>
      <c r="V63" s="345"/>
    </row>
    <row r="64" spans="2:22" ht="24.75" customHeight="1" thickBot="1" x14ac:dyDescent="0.25">
      <c r="B64" s="2584"/>
      <c r="C64" s="2627" t="s">
        <v>113</v>
      </c>
      <c r="D64" s="2597" t="str">
        <f>PRODUÇÃO!B10</f>
        <v/>
      </c>
      <c r="E64" s="2629"/>
      <c r="F64" s="2628"/>
      <c r="G64" s="2630" t="s">
        <v>114</v>
      </c>
      <c r="H64" s="2599">
        <f>PRODUÇÃO!C10</f>
        <v>0</v>
      </c>
      <c r="I64" s="2598"/>
      <c r="J64" s="2918" t="s">
        <v>115</v>
      </c>
      <c r="K64" s="2918"/>
      <c r="L64" s="2918"/>
      <c r="M64" s="1167"/>
      <c r="N64" s="1167"/>
      <c r="O64" s="1168"/>
      <c r="P64" s="1139"/>
    </row>
    <row r="65" spans="2:16" ht="39" thickBot="1" x14ac:dyDescent="0.25">
      <c r="B65" s="2584"/>
      <c r="C65" s="2587" t="s">
        <v>116</v>
      </c>
      <c r="D65" s="2588" t="s">
        <v>1066</v>
      </c>
      <c r="E65" s="2588" t="s">
        <v>1067</v>
      </c>
      <c r="F65" s="2589" t="s">
        <v>1068</v>
      </c>
      <c r="G65" s="2588" t="s">
        <v>771</v>
      </c>
      <c r="H65" s="2955" t="s">
        <v>118</v>
      </c>
      <c r="I65" s="2956"/>
      <c r="J65" s="1169" t="s">
        <v>119</v>
      </c>
      <c r="K65" s="1169" t="s">
        <v>120</v>
      </c>
      <c r="L65" s="1169" t="s">
        <v>121</v>
      </c>
      <c r="M65" s="1169" t="s">
        <v>122</v>
      </c>
      <c r="N65" s="1169" t="s">
        <v>128</v>
      </c>
      <c r="O65" s="1170" t="s">
        <v>129</v>
      </c>
      <c r="P65" s="1139"/>
    </row>
    <row r="66" spans="2:16" x14ac:dyDescent="0.2">
      <c r="B66" s="2582">
        <v>1</v>
      </c>
      <c r="C66" s="2594" t="s">
        <v>1054</v>
      </c>
      <c r="D66" s="2698"/>
      <c r="E66" s="2699"/>
      <c r="F66" s="2613">
        <f>PRODUÇÃO!I10</f>
        <v>0</v>
      </c>
      <c r="G66" s="2700"/>
      <c r="H66" s="2601"/>
      <c r="I66" s="2602">
        <f t="shared" ref="I66:I73" si="6">F66*G66</f>
        <v>0</v>
      </c>
      <c r="J66" s="1171"/>
      <c r="K66" s="1171"/>
      <c r="L66" s="1171"/>
      <c r="M66" s="1150">
        <f t="shared" ref="M66:M79" si="7">F66*J66/100</f>
        <v>0</v>
      </c>
      <c r="N66" s="1151">
        <f t="shared" ref="N66:N79" si="8">K66*F66/100</f>
        <v>0</v>
      </c>
      <c r="O66" s="1151">
        <f t="shared" ref="O66:O79" si="9">F66*L66/100</f>
        <v>0</v>
      </c>
      <c r="P66" s="1139"/>
    </row>
    <row r="67" spans="2:16" x14ac:dyDescent="0.2">
      <c r="B67" s="2583">
        <f>B66+1</f>
        <v>2</v>
      </c>
      <c r="C67" s="2586" t="s">
        <v>1055</v>
      </c>
      <c r="D67" s="2698"/>
      <c r="E67" s="2444"/>
      <c r="F67" s="2614">
        <f t="shared" ref="F67:F83" si="10">E67*H$64</f>
        <v>0</v>
      </c>
      <c r="G67" s="2443"/>
      <c r="H67" s="2601"/>
      <c r="I67" s="2602">
        <f t="shared" si="6"/>
        <v>0</v>
      </c>
      <c r="J67" s="1152"/>
      <c r="K67" s="1152"/>
      <c r="L67" s="1152"/>
      <c r="M67" s="1150">
        <f t="shared" si="7"/>
        <v>0</v>
      </c>
      <c r="N67" s="1151">
        <f t="shared" si="8"/>
        <v>0</v>
      </c>
      <c r="O67" s="1151">
        <f t="shared" si="9"/>
        <v>0</v>
      </c>
      <c r="P67" s="1139"/>
    </row>
    <row r="68" spans="2:16" x14ac:dyDescent="0.2">
      <c r="B68" s="2583">
        <f t="shared" ref="B68:B83" si="11">B67+1</f>
        <v>3</v>
      </c>
      <c r="C68" s="2586" t="s">
        <v>1056</v>
      </c>
      <c r="D68" s="2698"/>
      <c r="E68" s="2444"/>
      <c r="F68" s="2614">
        <f t="shared" si="10"/>
        <v>0</v>
      </c>
      <c r="G68" s="2443"/>
      <c r="H68" s="2601"/>
      <c r="I68" s="2602">
        <f t="shared" si="6"/>
        <v>0</v>
      </c>
      <c r="J68" s="1152"/>
      <c r="K68" s="1152"/>
      <c r="L68" s="1152"/>
      <c r="M68" s="1150">
        <f t="shared" si="7"/>
        <v>0</v>
      </c>
      <c r="N68" s="1151">
        <f t="shared" si="8"/>
        <v>0</v>
      </c>
      <c r="O68" s="1151">
        <f t="shared" si="9"/>
        <v>0</v>
      </c>
      <c r="P68" s="1139"/>
    </row>
    <row r="69" spans="2:16" x14ac:dyDescent="0.2">
      <c r="B69" s="2583">
        <f t="shared" si="11"/>
        <v>4</v>
      </c>
      <c r="C69" s="2595" t="s">
        <v>675</v>
      </c>
      <c r="D69" s="2698"/>
      <c r="E69" s="2444"/>
      <c r="F69" s="2614">
        <f t="shared" si="10"/>
        <v>0</v>
      </c>
      <c r="G69" s="2443"/>
      <c r="H69" s="2601"/>
      <c r="I69" s="2602">
        <f t="shared" si="6"/>
        <v>0</v>
      </c>
      <c r="J69" s="1152"/>
      <c r="K69" s="1152"/>
      <c r="L69" s="1152"/>
      <c r="M69" s="1150">
        <f t="shared" si="7"/>
        <v>0</v>
      </c>
      <c r="N69" s="1151">
        <f t="shared" si="8"/>
        <v>0</v>
      </c>
      <c r="O69" s="1151">
        <f t="shared" si="9"/>
        <v>0</v>
      </c>
      <c r="P69" s="1139"/>
    </row>
    <row r="70" spans="2:16" x14ac:dyDescent="0.2">
      <c r="B70" s="2583">
        <f t="shared" si="11"/>
        <v>5</v>
      </c>
      <c r="C70" s="2586" t="s">
        <v>1057</v>
      </c>
      <c r="D70" s="2698"/>
      <c r="E70" s="2444"/>
      <c r="F70" s="2614">
        <f t="shared" si="10"/>
        <v>0</v>
      </c>
      <c r="G70" s="2443"/>
      <c r="H70" s="2601"/>
      <c r="I70" s="2602">
        <f t="shared" si="6"/>
        <v>0</v>
      </c>
      <c r="J70" s="1152"/>
      <c r="K70" s="1152"/>
      <c r="L70" s="1152"/>
      <c r="M70" s="1150">
        <f t="shared" si="7"/>
        <v>0</v>
      </c>
      <c r="N70" s="1151">
        <f t="shared" si="8"/>
        <v>0</v>
      </c>
      <c r="O70" s="1151">
        <f t="shared" si="9"/>
        <v>0</v>
      </c>
      <c r="P70" s="1139"/>
    </row>
    <row r="71" spans="2:16" x14ac:dyDescent="0.2">
      <c r="B71" s="2583">
        <f t="shared" si="11"/>
        <v>6</v>
      </c>
      <c r="C71" s="2586" t="s">
        <v>1058</v>
      </c>
      <c r="D71" s="2444"/>
      <c r="E71" s="2444"/>
      <c r="F71" s="2614">
        <f t="shared" si="10"/>
        <v>0</v>
      </c>
      <c r="G71" s="2443"/>
      <c r="H71" s="2601"/>
      <c r="I71" s="2602">
        <f t="shared" si="6"/>
        <v>0</v>
      </c>
      <c r="J71" s="1152"/>
      <c r="K71" s="1152"/>
      <c r="L71" s="1152"/>
      <c r="M71" s="1150">
        <f t="shared" si="7"/>
        <v>0</v>
      </c>
      <c r="N71" s="1151">
        <f t="shared" si="8"/>
        <v>0</v>
      </c>
      <c r="O71" s="1151">
        <f t="shared" si="9"/>
        <v>0</v>
      </c>
      <c r="P71" s="1139"/>
    </row>
    <row r="72" spans="2:16" x14ac:dyDescent="0.2">
      <c r="B72" s="2583">
        <f t="shared" si="11"/>
        <v>7</v>
      </c>
      <c r="C72" s="2586" t="s">
        <v>1059</v>
      </c>
      <c r="D72" s="2444"/>
      <c r="E72" s="2444"/>
      <c r="F72" s="2614">
        <f t="shared" si="10"/>
        <v>0</v>
      </c>
      <c r="G72" s="2443"/>
      <c r="H72" s="2601"/>
      <c r="I72" s="2602">
        <f t="shared" si="6"/>
        <v>0</v>
      </c>
      <c r="J72" s="1152"/>
      <c r="K72" s="1152"/>
      <c r="L72" s="1152"/>
      <c r="M72" s="1150">
        <f t="shared" si="7"/>
        <v>0</v>
      </c>
      <c r="N72" s="1151">
        <f t="shared" si="8"/>
        <v>0</v>
      </c>
      <c r="O72" s="1151">
        <f t="shared" si="9"/>
        <v>0</v>
      </c>
      <c r="P72" s="1139"/>
    </row>
    <row r="73" spans="2:16" x14ac:dyDescent="0.2">
      <c r="B73" s="2583">
        <f t="shared" si="11"/>
        <v>8</v>
      </c>
      <c r="C73" s="2586" t="s">
        <v>1060</v>
      </c>
      <c r="D73" s="2444"/>
      <c r="E73" s="2444"/>
      <c r="F73" s="2614">
        <f t="shared" si="10"/>
        <v>0</v>
      </c>
      <c r="G73" s="2443"/>
      <c r="H73" s="2601"/>
      <c r="I73" s="2602">
        <f t="shared" si="6"/>
        <v>0</v>
      </c>
      <c r="J73" s="1152"/>
      <c r="K73" s="1152"/>
      <c r="L73" s="1152"/>
      <c r="M73" s="1150">
        <f t="shared" si="7"/>
        <v>0</v>
      </c>
      <c r="N73" s="1151">
        <f t="shared" si="8"/>
        <v>0</v>
      </c>
      <c r="O73" s="1151">
        <f t="shared" si="9"/>
        <v>0</v>
      </c>
      <c r="P73" s="1139"/>
    </row>
    <row r="74" spans="2:16" x14ac:dyDescent="0.2">
      <c r="B74" s="2583">
        <f t="shared" si="11"/>
        <v>9</v>
      </c>
      <c r="C74" s="2586" t="s">
        <v>1061</v>
      </c>
      <c r="D74" s="2444"/>
      <c r="E74" s="2444"/>
      <c r="F74" s="2614">
        <f t="shared" si="10"/>
        <v>0</v>
      </c>
      <c r="G74" s="2443"/>
      <c r="H74" s="2601"/>
      <c r="I74" s="2602">
        <f t="shared" ref="I74:I83" si="12">F74*G74</f>
        <v>0</v>
      </c>
      <c r="J74" s="1152"/>
      <c r="K74" s="1152"/>
      <c r="L74" s="1152"/>
      <c r="M74" s="1150">
        <f t="shared" si="7"/>
        <v>0</v>
      </c>
      <c r="N74" s="1151">
        <f t="shared" si="8"/>
        <v>0</v>
      </c>
      <c r="O74" s="1151">
        <f t="shared" si="9"/>
        <v>0</v>
      </c>
      <c r="P74" s="1139"/>
    </row>
    <row r="75" spans="2:16" x14ac:dyDescent="0.2">
      <c r="B75" s="2583">
        <f t="shared" si="11"/>
        <v>10</v>
      </c>
      <c r="C75" s="2586" t="s">
        <v>1062</v>
      </c>
      <c r="D75" s="2444"/>
      <c r="E75" s="2444"/>
      <c r="F75" s="2614">
        <f t="shared" si="10"/>
        <v>0</v>
      </c>
      <c r="G75" s="2443"/>
      <c r="H75" s="2601"/>
      <c r="I75" s="2602">
        <f t="shared" si="12"/>
        <v>0</v>
      </c>
      <c r="J75" s="1152"/>
      <c r="K75" s="1152"/>
      <c r="L75" s="1152"/>
      <c r="M75" s="1150">
        <f t="shared" si="7"/>
        <v>0</v>
      </c>
      <c r="N75" s="1151">
        <f t="shared" si="8"/>
        <v>0</v>
      </c>
      <c r="O75" s="1151">
        <f t="shared" si="9"/>
        <v>0</v>
      </c>
      <c r="P75" s="1139"/>
    </row>
    <row r="76" spans="2:16" x14ac:dyDescent="0.2">
      <c r="B76" s="2583">
        <f t="shared" si="11"/>
        <v>11</v>
      </c>
      <c r="C76" s="2586" t="s">
        <v>1063</v>
      </c>
      <c r="D76" s="2444"/>
      <c r="E76" s="2444"/>
      <c r="F76" s="2614">
        <f t="shared" si="10"/>
        <v>0</v>
      </c>
      <c r="G76" s="2443"/>
      <c r="H76" s="2601"/>
      <c r="I76" s="2602">
        <f t="shared" si="12"/>
        <v>0</v>
      </c>
      <c r="J76" s="1152"/>
      <c r="K76" s="1152"/>
      <c r="L76" s="1152"/>
      <c r="M76" s="1150">
        <f t="shared" si="7"/>
        <v>0</v>
      </c>
      <c r="N76" s="1151">
        <f t="shared" si="8"/>
        <v>0</v>
      </c>
      <c r="O76" s="1151">
        <f t="shared" si="9"/>
        <v>0</v>
      </c>
      <c r="P76" s="1139"/>
    </row>
    <row r="77" spans="2:16" x14ac:dyDescent="0.2">
      <c r="B77" s="2583">
        <f t="shared" si="11"/>
        <v>12</v>
      </c>
      <c r="C77" s="2586" t="s">
        <v>1064</v>
      </c>
      <c r="D77" s="2444"/>
      <c r="E77" s="2444"/>
      <c r="F77" s="2614">
        <f t="shared" si="10"/>
        <v>0</v>
      </c>
      <c r="G77" s="2443"/>
      <c r="H77" s="2601"/>
      <c r="I77" s="2602">
        <f t="shared" si="12"/>
        <v>0</v>
      </c>
      <c r="J77" s="1152"/>
      <c r="K77" s="1152"/>
      <c r="L77" s="1152"/>
      <c r="M77" s="1150">
        <f t="shared" si="7"/>
        <v>0</v>
      </c>
      <c r="N77" s="1151">
        <f t="shared" si="8"/>
        <v>0</v>
      </c>
      <c r="O77" s="1151">
        <f t="shared" si="9"/>
        <v>0</v>
      </c>
      <c r="P77" s="1139"/>
    </row>
    <row r="78" spans="2:16" x14ac:dyDescent="0.2">
      <c r="B78" s="2583">
        <f t="shared" si="11"/>
        <v>13</v>
      </c>
      <c r="C78" s="2586" t="s">
        <v>1065</v>
      </c>
      <c r="D78" s="2444"/>
      <c r="E78" s="2444"/>
      <c r="F78" s="2614">
        <f t="shared" si="10"/>
        <v>0</v>
      </c>
      <c r="G78" s="2443"/>
      <c r="H78" s="2601"/>
      <c r="I78" s="2602">
        <f t="shared" si="12"/>
        <v>0</v>
      </c>
      <c r="J78" s="1152"/>
      <c r="K78" s="1152"/>
      <c r="L78" s="1152"/>
      <c r="M78" s="1150">
        <f t="shared" si="7"/>
        <v>0</v>
      </c>
      <c r="N78" s="1151">
        <f t="shared" si="8"/>
        <v>0</v>
      </c>
      <c r="O78" s="1151">
        <f t="shared" si="9"/>
        <v>0</v>
      </c>
      <c r="P78" s="1139"/>
    </row>
    <row r="79" spans="2:16" ht="13.5" thickBot="1" x14ac:dyDescent="0.25">
      <c r="B79" s="2583">
        <f t="shared" si="11"/>
        <v>14</v>
      </c>
      <c r="C79" s="2586" t="s">
        <v>916</v>
      </c>
      <c r="D79" s="2615"/>
      <c r="E79" s="2615"/>
      <c r="F79" s="2616">
        <f t="shared" si="10"/>
        <v>0</v>
      </c>
      <c r="G79" s="2617"/>
      <c r="H79" s="2603"/>
      <c r="I79" s="2604">
        <f t="shared" si="12"/>
        <v>0</v>
      </c>
      <c r="J79" s="1152"/>
      <c r="K79" s="1152"/>
      <c r="L79" s="1152"/>
      <c r="M79" s="1150">
        <f t="shared" si="7"/>
        <v>0</v>
      </c>
      <c r="N79" s="1151">
        <f t="shared" si="8"/>
        <v>0</v>
      </c>
      <c r="O79" s="1151">
        <f t="shared" si="9"/>
        <v>0</v>
      </c>
      <c r="P79" s="1139"/>
    </row>
    <row r="80" spans="2:16" ht="13.5" thickBot="1" x14ac:dyDescent="0.25">
      <c r="B80" s="2583">
        <f>B79+1</f>
        <v>15</v>
      </c>
      <c r="C80" s="2642" t="s">
        <v>890</v>
      </c>
      <c r="D80" s="2631" t="s">
        <v>619</v>
      </c>
      <c r="E80" s="2631">
        <v>1</v>
      </c>
      <c r="F80" s="2618">
        <f>E80*H$64</f>
        <v>0</v>
      </c>
      <c r="G80" s="2619">
        <f>F12</f>
        <v>0</v>
      </c>
      <c r="H80" s="2620"/>
      <c r="I80" s="2621">
        <f>F80*G80</f>
        <v>0</v>
      </c>
      <c r="J80" s="1174"/>
      <c r="K80" s="1153"/>
      <c r="L80" s="1153"/>
      <c r="M80" s="1154">
        <f>F80*J80/100</f>
        <v>0</v>
      </c>
      <c r="N80" s="1155">
        <f>K80*F80/100</f>
        <v>0</v>
      </c>
      <c r="O80" s="1155">
        <f>F80*L80/100</f>
        <v>0</v>
      </c>
      <c r="P80" s="1139"/>
    </row>
    <row r="81" spans="2:22" x14ac:dyDescent="0.2">
      <c r="B81" s="2583">
        <f>B80+1</f>
        <v>16</v>
      </c>
      <c r="C81" s="2610"/>
      <c r="D81" s="2622"/>
      <c r="E81" s="2622"/>
      <c r="F81" s="2623">
        <f t="shared" si="10"/>
        <v>0</v>
      </c>
      <c r="G81" s="2624"/>
      <c r="H81" s="2605"/>
      <c r="I81" s="2606">
        <f t="shared" si="12"/>
        <v>0</v>
      </c>
      <c r="J81" s="1704"/>
      <c r="K81" s="1153"/>
      <c r="L81" s="1153"/>
      <c r="M81" s="1154"/>
      <c r="N81" s="1155"/>
      <c r="O81" s="1155"/>
      <c r="P81" s="1139"/>
    </row>
    <row r="82" spans="2:22" x14ac:dyDescent="0.2">
      <c r="B82" s="2583">
        <f t="shared" si="11"/>
        <v>17</v>
      </c>
      <c r="C82" s="2611"/>
      <c r="D82" s="2444"/>
      <c r="E82" s="2444"/>
      <c r="F82" s="2614">
        <f t="shared" si="10"/>
        <v>0</v>
      </c>
      <c r="G82" s="2443"/>
      <c r="H82" s="2601"/>
      <c r="I82" s="2602">
        <f t="shared" si="12"/>
        <v>0</v>
      </c>
      <c r="J82" s="1704"/>
      <c r="K82" s="1153"/>
      <c r="L82" s="1153"/>
      <c r="M82" s="1154"/>
      <c r="N82" s="1155"/>
      <c r="O82" s="1155"/>
      <c r="P82" s="1139"/>
    </row>
    <row r="83" spans="2:22" ht="13.5" thickBot="1" x14ac:dyDescent="0.25">
      <c r="B83" s="2583">
        <f t="shared" si="11"/>
        <v>18</v>
      </c>
      <c r="C83" s="2611"/>
      <c r="D83" s="2447"/>
      <c r="E83" s="2447"/>
      <c r="F83" s="2625">
        <f t="shared" si="10"/>
        <v>0</v>
      </c>
      <c r="G83" s="2626"/>
      <c r="H83" s="2607"/>
      <c r="I83" s="2608">
        <f t="shared" si="12"/>
        <v>0</v>
      </c>
      <c r="J83" s="1704"/>
      <c r="K83" s="1153"/>
      <c r="L83" s="1153"/>
      <c r="M83" s="1154"/>
      <c r="N83" s="1155"/>
      <c r="O83" s="1155"/>
      <c r="P83" s="1139"/>
    </row>
    <row r="84" spans="2:22" ht="19.5" customHeight="1" thickBot="1" x14ac:dyDescent="0.25">
      <c r="B84" s="2584"/>
      <c r="C84" s="1156"/>
      <c r="D84" s="345"/>
      <c r="E84" s="345"/>
      <c r="F84" s="2645"/>
      <c r="G84" s="2643" t="s">
        <v>434</v>
      </c>
      <c r="H84" s="2632"/>
      <c r="I84" s="2639">
        <f>SUM(SUMIF(I66:I83,"&gt;0",I66:I83))</f>
        <v>0</v>
      </c>
      <c r="J84" s="1157"/>
      <c r="K84" s="1158" t="s">
        <v>125</v>
      </c>
      <c r="L84" s="1158"/>
      <c r="M84" s="1159">
        <f>SUM(M66:M80)</f>
        <v>0</v>
      </c>
      <c r="N84" s="1159">
        <f>SUM(N66:N80)</f>
        <v>0</v>
      </c>
      <c r="O84" s="1160">
        <f>SUM(O66:O80)</f>
        <v>0</v>
      </c>
      <c r="P84" s="1139"/>
    </row>
    <row r="85" spans="2:22" ht="19.5" customHeight="1" thickBot="1" x14ac:dyDescent="0.25">
      <c r="B85" s="2584"/>
      <c r="C85" s="1156"/>
      <c r="D85" s="345"/>
      <c r="E85" s="345"/>
      <c r="F85" s="2645"/>
      <c r="G85" s="2644" t="s">
        <v>130</v>
      </c>
      <c r="H85" s="2633"/>
      <c r="I85" s="2638">
        <f>IF(H64=0,0,I84/H64)</f>
        <v>0</v>
      </c>
      <c r="J85" s="1163"/>
      <c r="K85" s="1164" t="s">
        <v>127</v>
      </c>
      <c r="L85" s="1164"/>
      <c r="M85" s="1165" t="e">
        <f>M84/$H$64</f>
        <v>#DIV/0!</v>
      </c>
      <c r="N85" s="1165" t="e">
        <f>N84/$H$64</f>
        <v>#DIV/0!</v>
      </c>
      <c r="O85" s="1166" t="e">
        <f>O84/$H$64</f>
        <v>#DIV/0!</v>
      </c>
      <c r="P85" s="1139"/>
    </row>
    <row r="86" spans="2:22" x14ac:dyDescent="0.2">
      <c r="B86" s="2584"/>
      <c r="C86" s="1156"/>
      <c r="D86" s="345"/>
      <c r="E86" s="345"/>
      <c r="F86" s="345"/>
      <c r="G86" s="1177"/>
      <c r="H86" s="2634"/>
      <c r="I86" s="2634"/>
      <c r="J86" s="345"/>
      <c r="K86" s="345"/>
      <c r="L86" s="345"/>
      <c r="M86" s="345"/>
      <c r="N86" s="345"/>
      <c r="O86" s="345"/>
      <c r="P86" s="1139"/>
    </row>
    <row r="87" spans="2:22" s="1138" customFormat="1" ht="13.5" thickBot="1" x14ac:dyDescent="0.25">
      <c r="B87" s="2584"/>
      <c r="C87" s="2635" t="str">
        <f>IF(I88=0,"NÃO preencher o proximo quadro","OBRIGADO PREENCHER PROXIMO QUADRO")</f>
        <v>NÃO preencher o proximo quadro</v>
      </c>
      <c r="D87" s="1162"/>
      <c r="E87" s="1162"/>
      <c r="F87" s="1162"/>
      <c r="G87" s="1162"/>
      <c r="H87" s="1162"/>
      <c r="I87" s="1162"/>
      <c r="J87" s="345"/>
      <c r="K87" s="345"/>
      <c r="L87" s="345"/>
      <c r="M87" s="345"/>
      <c r="N87" s="345"/>
      <c r="O87" s="345"/>
      <c r="P87" s="1139"/>
      <c r="Q87" s="345"/>
      <c r="R87" s="345"/>
      <c r="S87" s="345"/>
      <c r="T87" s="345"/>
      <c r="U87" s="345"/>
      <c r="V87" s="345"/>
    </row>
    <row r="88" spans="2:22" ht="24.75" customHeight="1" thickBot="1" x14ac:dyDescent="0.25">
      <c r="B88" s="2584"/>
      <c r="C88" s="2627" t="s">
        <v>113</v>
      </c>
      <c r="D88" s="2597" t="str">
        <f>PRODUÇÃO!B11</f>
        <v/>
      </c>
      <c r="E88" s="2629"/>
      <c r="F88" s="2628"/>
      <c r="G88" s="2630" t="s">
        <v>114</v>
      </c>
      <c r="H88" s="2599"/>
      <c r="I88" s="2598">
        <f>PRODUÇÃO!C11</f>
        <v>0</v>
      </c>
      <c r="J88" s="2915" t="s">
        <v>115</v>
      </c>
      <c r="K88" s="2916"/>
      <c r="L88" s="2917"/>
      <c r="M88" s="1167"/>
      <c r="N88" s="1167"/>
      <c r="O88" s="1168"/>
      <c r="P88" s="1139"/>
    </row>
    <row r="89" spans="2:22" ht="39" thickBot="1" x14ac:dyDescent="0.25">
      <c r="B89" s="2584"/>
      <c r="C89" s="2587" t="s">
        <v>116</v>
      </c>
      <c r="D89" s="2588" t="s">
        <v>772</v>
      </c>
      <c r="E89" s="2588" t="s">
        <v>770</v>
      </c>
      <c r="F89" s="2589" t="s">
        <v>432</v>
      </c>
      <c r="G89" s="2588" t="s">
        <v>771</v>
      </c>
      <c r="H89" s="2959" t="s">
        <v>118</v>
      </c>
      <c r="I89" s="2960"/>
      <c r="J89" s="1169" t="s">
        <v>119</v>
      </c>
      <c r="K89" s="1169" t="s">
        <v>120</v>
      </c>
      <c r="L89" s="1169" t="s">
        <v>121</v>
      </c>
      <c r="M89" s="1169" t="s">
        <v>122</v>
      </c>
      <c r="N89" s="1169" t="s">
        <v>128</v>
      </c>
      <c r="O89" s="1170" t="s">
        <v>129</v>
      </c>
      <c r="P89" s="1139"/>
    </row>
    <row r="90" spans="2:22" x14ac:dyDescent="0.2">
      <c r="B90" s="2582">
        <v>1</v>
      </c>
      <c r="C90" s="2594" t="s">
        <v>1054</v>
      </c>
      <c r="D90" s="2698"/>
      <c r="E90" s="2699"/>
      <c r="F90" s="2613">
        <f>PRODUÇÃO!I11</f>
        <v>0</v>
      </c>
      <c r="G90" s="2700"/>
      <c r="H90" s="2601"/>
      <c r="I90" s="2602">
        <f t="shared" ref="I90:I107" si="13">F90*G90</f>
        <v>0</v>
      </c>
      <c r="J90" s="1171"/>
      <c r="K90" s="1171"/>
      <c r="L90" s="1171"/>
      <c r="M90" s="1150">
        <f t="shared" ref="M90:M104" si="14">F90*J90/100</f>
        <v>0</v>
      </c>
      <c r="N90" s="1151">
        <f t="shared" ref="N90:N104" si="15">K90*F90/100</f>
        <v>0</v>
      </c>
      <c r="O90" s="1151">
        <f t="shared" ref="O90:O104" si="16">F90*L90/100</f>
        <v>0</v>
      </c>
      <c r="P90" s="1139"/>
    </row>
    <row r="91" spans="2:22" x14ac:dyDescent="0.2">
      <c r="B91" s="2583">
        <f>B90+1</f>
        <v>2</v>
      </c>
      <c r="C91" s="2586" t="s">
        <v>1055</v>
      </c>
      <c r="D91" s="2698"/>
      <c r="E91" s="2444"/>
      <c r="F91" s="2614">
        <f t="shared" ref="F91:F107" si="17">E91*I$88</f>
        <v>0</v>
      </c>
      <c r="G91" s="2443"/>
      <c r="H91" s="2601"/>
      <c r="I91" s="2602">
        <f t="shared" si="13"/>
        <v>0</v>
      </c>
      <c r="J91" s="1152"/>
      <c r="K91" s="1152"/>
      <c r="L91" s="1152">
        <v>0</v>
      </c>
      <c r="M91" s="1150">
        <f t="shared" si="14"/>
        <v>0</v>
      </c>
      <c r="N91" s="1151">
        <f t="shared" si="15"/>
        <v>0</v>
      </c>
      <c r="O91" s="1151">
        <f t="shared" si="16"/>
        <v>0</v>
      </c>
      <c r="P91" s="1139"/>
    </row>
    <row r="92" spans="2:22" x14ac:dyDescent="0.2">
      <c r="B92" s="2583">
        <f t="shared" ref="B92:B104" si="18">B91+1</f>
        <v>3</v>
      </c>
      <c r="C92" s="2586" t="s">
        <v>1056</v>
      </c>
      <c r="D92" s="2698"/>
      <c r="E92" s="2444"/>
      <c r="F92" s="2614">
        <f t="shared" si="17"/>
        <v>0</v>
      </c>
      <c r="G92" s="2443"/>
      <c r="H92" s="2601"/>
      <c r="I92" s="2602">
        <f t="shared" si="13"/>
        <v>0</v>
      </c>
      <c r="J92" s="1152"/>
      <c r="K92" s="1152"/>
      <c r="L92" s="1152"/>
      <c r="M92" s="1150">
        <f t="shared" si="14"/>
        <v>0</v>
      </c>
      <c r="N92" s="1151">
        <f t="shared" si="15"/>
        <v>0</v>
      </c>
      <c r="O92" s="1151">
        <f t="shared" si="16"/>
        <v>0</v>
      </c>
      <c r="P92" s="1139"/>
    </row>
    <row r="93" spans="2:22" x14ac:dyDescent="0.2">
      <c r="B93" s="2583">
        <f t="shared" si="18"/>
        <v>4</v>
      </c>
      <c r="C93" s="2595" t="s">
        <v>675</v>
      </c>
      <c r="D93" s="2698"/>
      <c r="E93" s="2444"/>
      <c r="F93" s="2614">
        <f t="shared" si="17"/>
        <v>0</v>
      </c>
      <c r="G93" s="2443"/>
      <c r="H93" s="2601"/>
      <c r="I93" s="2602">
        <f t="shared" si="13"/>
        <v>0</v>
      </c>
      <c r="J93" s="1152"/>
      <c r="K93" s="1152"/>
      <c r="L93" s="1152"/>
      <c r="M93" s="1150">
        <f t="shared" si="14"/>
        <v>0</v>
      </c>
      <c r="N93" s="1151">
        <f t="shared" si="15"/>
        <v>0</v>
      </c>
      <c r="O93" s="1151">
        <f t="shared" si="16"/>
        <v>0</v>
      </c>
      <c r="P93" s="1139"/>
    </row>
    <row r="94" spans="2:22" x14ac:dyDescent="0.2">
      <c r="B94" s="2583">
        <f t="shared" si="18"/>
        <v>5</v>
      </c>
      <c r="C94" s="2586" t="s">
        <v>1057</v>
      </c>
      <c r="D94" s="2698"/>
      <c r="E94" s="2444"/>
      <c r="F94" s="2614">
        <f t="shared" si="17"/>
        <v>0</v>
      </c>
      <c r="G94" s="2443"/>
      <c r="H94" s="2601"/>
      <c r="I94" s="2602">
        <f t="shared" si="13"/>
        <v>0</v>
      </c>
      <c r="J94" s="1152"/>
      <c r="K94" s="1152"/>
      <c r="L94" s="1152"/>
      <c r="M94" s="1150">
        <f t="shared" si="14"/>
        <v>0</v>
      </c>
      <c r="N94" s="1151">
        <f t="shared" si="15"/>
        <v>0</v>
      </c>
      <c r="O94" s="1151">
        <f t="shared" si="16"/>
        <v>0</v>
      </c>
      <c r="P94" s="1139"/>
    </row>
    <row r="95" spans="2:22" x14ac:dyDescent="0.2">
      <c r="B95" s="2583">
        <f t="shared" si="18"/>
        <v>6</v>
      </c>
      <c r="C95" s="2586" t="s">
        <v>1058</v>
      </c>
      <c r="D95" s="2444"/>
      <c r="E95" s="2444"/>
      <c r="F95" s="2614">
        <f t="shared" si="17"/>
        <v>0</v>
      </c>
      <c r="G95" s="2443"/>
      <c r="H95" s="2601"/>
      <c r="I95" s="2602">
        <f t="shared" si="13"/>
        <v>0</v>
      </c>
      <c r="J95" s="1152"/>
      <c r="K95" s="1152"/>
      <c r="L95" s="1152"/>
      <c r="M95" s="1150">
        <f t="shared" si="14"/>
        <v>0</v>
      </c>
      <c r="N95" s="1151">
        <f t="shared" si="15"/>
        <v>0</v>
      </c>
      <c r="O95" s="1151">
        <f t="shared" si="16"/>
        <v>0</v>
      </c>
      <c r="P95" s="1139"/>
    </row>
    <row r="96" spans="2:22" x14ac:dyDescent="0.2">
      <c r="B96" s="2583">
        <f t="shared" si="18"/>
        <v>7</v>
      </c>
      <c r="C96" s="2586" t="s">
        <v>1059</v>
      </c>
      <c r="D96" s="2444"/>
      <c r="E96" s="2444"/>
      <c r="F96" s="2614">
        <f t="shared" si="17"/>
        <v>0</v>
      </c>
      <c r="G96" s="2443"/>
      <c r="H96" s="2601"/>
      <c r="I96" s="2602">
        <f t="shared" si="13"/>
        <v>0</v>
      </c>
      <c r="J96" s="1152"/>
      <c r="K96" s="1152"/>
      <c r="L96" s="1152"/>
      <c r="M96" s="1150">
        <f t="shared" si="14"/>
        <v>0</v>
      </c>
      <c r="N96" s="1151">
        <f t="shared" si="15"/>
        <v>0</v>
      </c>
      <c r="O96" s="1151">
        <f t="shared" si="16"/>
        <v>0</v>
      </c>
      <c r="P96" s="1139"/>
    </row>
    <row r="97" spans="2:22" x14ac:dyDescent="0.2">
      <c r="B97" s="2583">
        <f t="shared" si="18"/>
        <v>8</v>
      </c>
      <c r="C97" s="2586" t="s">
        <v>1060</v>
      </c>
      <c r="D97" s="2444"/>
      <c r="E97" s="2444"/>
      <c r="F97" s="2614">
        <f t="shared" si="17"/>
        <v>0</v>
      </c>
      <c r="G97" s="2443"/>
      <c r="H97" s="2601"/>
      <c r="I97" s="2602">
        <f t="shared" si="13"/>
        <v>0</v>
      </c>
      <c r="J97" s="1152"/>
      <c r="K97" s="1152"/>
      <c r="L97" s="1152"/>
      <c r="M97" s="1150">
        <f t="shared" si="14"/>
        <v>0</v>
      </c>
      <c r="N97" s="1151">
        <f t="shared" si="15"/>
        <v>0</v>
      </c>
      <c r="O97" s="1151">
        <f t="shared" si="16"/>
        <v>0</v>
      </c>
      <c r="P97" s="1139"/>
    </row>
    <row r="98" spans="2:22" x14ac:dyDescent="0.2">
      <c r="B98" s="2583">
        <f t="shared" si="18"/>
        <v>9</v>
      </c>
      <c r="C98" s="2586" t="s">
        <v>1061</v>
      </c>
      <c r="D98" s="2444"/>
      <c r="E98" s="2444"/>
      <c r="F98" s="2614">
        <f t="shared" si="17"/>
        <v>0</v>
      </c>
      <c r="G98" s="2443"/>
      <c r="H98" s="2601"/>
      <c r="I98" s="2602">
        <f t="shared" si="13"/>
        <v>0</v>
      </c>
      <c r="J98" s="1152"/>
      <c r="K98" s="1152"/>
      <c r="L98" s="1152"/>
      <c r="M98" s="1150">
        <f t="shared" si="14"/>
        <v>0</v>
      </c>
      <c r="N98" s="1151">
        <f t="shared" si="15"/>
        <v>0</v>
      </c>
      <c r="O98" s="1151">
        <f t="shared" si="16"/>
        <v>0</v>
      </c>
      <c r="P98" s="1139"/>
    </row>
    <row r="99" spans="2:22" x14ac:dyDescent="0.2">
      <c r="B99" s="2583">
        <f t="shared" si="18"/>
        <v>10</v>
      </c>
      <c r="C99" s="2586" t="s">
        <v>1062</v>
      </c>
      <c r="D99" s="2444"/>
      <c r="E99" s="2444"/>
      <c r="F99" s="2614">
        <f t="shared" si="17"/>
        <v>0</v>
      </c>
      <c r="G99" s="2443"/>
      <c r="H99" s="2601"/>
      <c r="I99" s="2602">
        <f t="shared" si="13"/>
        <v>0</v>
      </c>
      <c r="J99" s="1152"/>
      <c r="K99" s="1152"/>
      <c r="L99" s="1152"/>
      <c r="M99" s="1150">
        <f t="shared" si="14"/>
        <v>0</v>
      </c>
      <c r="N99" s="1151">
        <f t="shared" si="15"/>
        <v>0</v>
      </c>
      <c r="O99" s="1151">
        <f t="shared" si="16"/>
        <v>0</v>
      </c>
      <c r="P99" s="1139"/>
    </row>
    <row r="100" spans="2:22" x14ac:dyDescent="0.2">
      <c r="B100" s="2583">
        <f t="shared" si="18"/>
        <v>11</v>
      </c>
      <c r="C100" s="2586" t="s">
        <v>1063</v>
      </c>
      <c r="D100" s="2444"/>
      <c r="E100" s="2444"/>
      <c r="F100" s="2614">
        <f t="shared" si="17"/>
        <v>0</v>
      </c>
      <c r="G100" s="2443"/>
      <c r="H100" s="2601"/>
      <c r="I100" s="2602">
        <f t="shared" si="13"/>
        <v>0</v>
      </c>
      <c r="J100" s="1152"/>
      <c r="K100" s="1152"/>
      <c r="L100" s="1152"/>
      <c r="M100" s="1150">
        <f t="shared" si="14"/>
        <v>0</v>
      </c>
      <c r="N100" s="1151">
        <f t="shared" si="15"/>
        <v>0</v>
      </c>
      <c r="O100" s="1151">
        <f t="shared" si="16"/>
        <v>0</v>
      </c>
      <c r="P100" s="1139"/>
    </row>
    <row r="101" spans="2:22" x14ac:dyDescent="0.2">
      <c r="B101" s="2583">
        <f t="shared" si="18"/>
        <v>12</v>
      </c>
      <c r="C101" s="2586" t="s">
        <v>1064</v>
      </c>
      <c r="D101" s="2444"/>
      <c r="E101" s="2444"/>
      <c r="F101" s="2614">
        <f t="shared" si="17"/>
        <v>0</v>
      </c>
      <c r="G101" s="2443"/>
      <c r="H101" s="2601"/>
      <c r="I101" s="2602">
        <f t="shared" si="13"/>
        <v>0</v>
      </c>
      <c r="J101" s="1152"/>
      <c r="K101" s="1152"/>
      <c r="L101" s="1152"/>
      <c r="M101" s="1150">
        <f t="shared" si="14"/>
        <v>0</v>
      </c>
      <c r="N101" s="1151">
        <f t="shared" si="15"/>
        <v>0</v>
      </c>
      <c r="O101" s="1151">
        <f t="shared" si="16"/>
        <v>0</v>
      </c>
      <c r="P101" s="1139"/>
    </row>
    <row r="102" spans="2:22" x14ac:dyDescent="0.2">
      <c r="B102" s="2583">
        <f t="shared" si="18"/>
        <v>13</v>
      </c>
      <c r="C102" s="2586" t="s">
        <v>1065</v>
      </c>
      <c r="D102" s="2444"/>
      <c r="E102" s="2444"/>
      <c r="F102" s="2614">
        <f t="shared" si="17"/>
        <v>0</v>
      </c>
      <c r="G102" s="2443"/>
      <c r="H102" s="2601"/>
      <c r="I102" s="2602">
        <f t="shared" si="13"/>
        <v>0</v>
      </c>
      <c r="J102" s="1152"/>
      <c r="K102" s="1152"/>
      <c r="L102" s="1152"/>
      <c r="M102" s="1150">
        <f t="shared" si="14"/>
        <v>0</v>
      </c>
      <c r="N102" s="1151">
        <f t="shared" si="15"/>
        <v>0</v>
      </c>
      <c r="O102" s="1151">
        <f t="shared" si="16"/>
        <v>0</v>
      </c>
      <c r="P102" s="1139"/>
    </row>
    <row r="103" spans="2:22" ht="13.5" thickBot="1" x14ac:dyDescent="0.25">
      <c r="B103" s="2583">
        <f t="shared" si="18"/>
        <v>14</v>
      </c>
      <c r="C103" s="2586" t="s">
        <v>916</v>
      </c>
      <c r="D103" s="2615"/>
      <c r="E103" s="2615"/>
      <c r="F103" s="2616">
        <f t="shared" si="17"/>
        <v>0</v>
      </c>
      <c r="G103" s="2617"/>
      <c r="H103" s="2603"/>
      <c r="I103" s="2604">
        <f t="shared" si="13"/>
        <v>0</v>
      </c>
      <c r="J103" s="1152"/>
      <c r="K103" s="1152"/>
      <c r="L103" s="1152"/>
      <c r="M103" s="1150">
        <f t="shared" si="14"/>
        <v>0</v>
      </c>
      <c r="N103" s="1151">
        <f t="shared" si="15"/>
        <v>0</v>
      </c>
      <c r="O103" s="1151">
        <f t="shared" si="16"/>
        <v>0</v>
      </c>
      <c r="P103" s="1139"/>
    </row>
    <row r="104" spans="2:22" ht="13.5" thickBot="1" x14ac:dyDescent="0.25">
      <c r="B104" s="2583">
        <f t="shared" si="18"/>
        <v>15</v>
      </c>
      <c r="C104" s="1892" t="s">
        <v>890</v>
      </c>
      <c r="D104" s="2631" t="s">
        <v>619</v>
      </c>
      <c r="E104" s="2631">
        <v>1</v>
      </c>
      <c r="F104" s="2618">
        <f t="shared" si="17"/>
        <v>0</v>
      </c>
      <c r="G104" s="2619">
        <f>F13</f>
        <v>0</v>
      </c>
      <c r="H104" s="2620"/>
      <c r="I104" s="2621">
        <f t="shared" si="13"/>
        <v>0</v>
      </c>
      <c r="J104" s="1174"/>
      <c r="K104" s="1153"/>
      <c r="L104" s="1153"/>
      <c r="M104" s="1154">
        <f t="shared" si="14"/>
        <v>0</v>
      </c>
      <c r="N104" s="1155">
        <f t="shared" si="15"/>
        <v>0</v>
      </c>
      <c r="O104" s="1155">
        <f t="shared" si="16"/>
        <v>0</v>
      </c>
      <c r="P104" s="1139"/>
    </row>
    <row r="105" spans="2:22" x14ac:dyDescent="0.2">
      <c r="B105" s="2583">
        <v>16</v>
      </c>
      <c r="C105" s="2659"/>
      <c r="D105" s="2622"/>
      <c r="E105" s="2622"/>
      <c r="F105" s="2623">
        <f t="shared" si="17"/>
        <v>0</v>
      </c>
      <c r="G105" s="2624"/>
      <c r="H105" s="2605"/>
      <c r="I105" s="2606">
        <f t="shared" si="13"/>
        <v>0</v>
      </c>
      <c r="J105" s="1704"/>
      <c r="K105" s="1153"/>
      <c r="L105" s="1153"/>
      <c r="M105" s="1154"/>
      <c r="N105" s="1155"/>
      <c r="O105" s="1155"/>
      <c r="P105" s="1139"/>
    </row>
    <row r="106" spans="2:22" x14ac:dyDescent="0.2">
      <c r="B106" s="2583">
        <v>17</v>
      </c>
      <c r="C106" s="29"/>
      <c r="D106" s="2444"/>
      <c r="E106" s="2444"/>
      <c r="F106" s="2614">
        <f t="shared" si="17"/>
        <v>0</v>
      </c>
      <c r="G106" s="2443"/>
      <c r="H106" s="2601"/>
      <c r="I106" s="2602">
        <f t="shared" si="13"/>
        <v>0</v>
      </c>
      <c r="J106" s="1704"/>
      <c r="K106" s="1153"/>
      <c r="L106" s="1153"/>
      <c r="M106" s="1154"/>
      <c r="N106" s="1155"/>
      <c r="O106" s="1155"/>
      <c r="P106" s="1139"/>
    </row>
    <row r="107" spans="2:22" ht="13.5" thickBot="1" x14ac:dyDescent="0.25">
      <c r="B107" s="2583">
        <v>18</v>
      </c>
      <c r="C107" s="29"/>
      <c r="D107" s="2447"/>
      <c r="E107" s="2447"/>
      <c r="F107" s="2625">
        <f t="shared" si="17"/>
        <v>0</v>
      </c>
      <c r="G107" s="2626"/>
      <c r="H107" s="2607"/>
      <c r="I107" s="2608">
        <f t="shared" si="13"/>
        <v>0</v>
      </c>
      <c r="J107" s="1704"/>
      <c r="K107" s="1153"/>
      <c r="L107" s="1153"/>
      <c r="M107" s="1154"/>
      <c r="N107" s="1155"/>
      <c r="O107" s="1155"/>
      <c r="P107" s="1139"/>
    </row>
    <row r="108" spans="2:22" ht="19.5" customHeight="1" thickBot="1" x14ac:dyDescent="0.25">
      <c r="B108" s="2584"/>
      <c r="C108" s="1156"/>
      <c r="D108" s="345"/>
      <c r="E108" s="345"/>
      <c r="F108" s="2645"/>
      <c r="G108" s="2643" t="s">
        <v>434</v>
      </c>
      <c r="H108" s="2632"/>
      <c r="I108" s="2639">
        <f>SUM(SUMIF(I90:I107,"&gt;0",I90:I107))</f>
        <v>0</v>
      </c>
      <c r="J108" s="1157"/>
      <c r="K108" s="1158" t="s">
        <v>125</v>
      </c>
      <c r="L108" s="1158"/>
      <c r="M108" s="1159">
        <f>SUM(M90:M104)</f>
        <v>0</v>
      </c>
      <c r="N108" s="1159">
        <f>SUM(N90:N104)</f>
        <v>0</v>
      </c>
      <c r="O108" s="1160">
        <f>SUM(O90:O104)</f>
        <v>0</v>
      </c>
      <c r="P108" s="1139"/>
    </row>
    <row r="109" spans="2:22" ht="19.5" customHeight="1" thickBot="1" x14ac:dyDescent="0.25">
      <c r="B109" s="2584"/>
      <c r="C109" s="1156"/>
      <c r="D109" s="345"/>
      <c r="E109" s="345"/>
      <c r="F109" s="2645"/>
      <c r="G109" s="2644" t="s">
        <v>130</v>
      </c>
      <c r="H109" s="2633"/>
      <c r="I109" s="2638">
        <f>IF(I88=0,0,I108/I88)</f>
        <v>0</v>
      </c>
      <c r="J109" s="1163"/>
      <c r="K109" s="1164" t="s">
        <v>127</v>
      </c>
      <c r="L109" s="1164"/>
      <c r="M109" s="1165" t="e">
        <f>M108/$I$88</f>
        <v>#DIV/0!</v>
      </c>
      <c r="N109" s="1165" t="e">
        <f>N108/$I$88</f>
        <v>#DIV/0!</v>
      </c>
      <c r="O109" s="1166" t="e">
        <f>O108/$I$88</f>
        <v>#DIV/0!</v>
      </c>
      <c r="P109" s="1139"/>
    </row>
    <row r="110" spans="2:22" x14ac:dyDescent="0.2">
      <c r="B110" s="2584"/>
      <c r="C110" s="1156"/>
      <c r="D110" s="345"/>
      <c r="E110" s="345"/>
      <c r="F110" s="345"/>
      <c r="G110" s="1177"/>
      <c r="H110" s="2634"/>
      <c r="I110" s="2634"/>
      <c r="J110" s="345"/>
      <c r="K110" s="345"/>
      <c r="L110" s="345"/>
      <c r="M110" s="345"/>
      <c r="N110" s="345"/>
      <c r="O110" s="345"/>
      <c r="P110" s="1139"/>
    </row>
    <row r="111" spans="2:22" s="1138" customFormat="1" ht="13.5" thickBot="1" x14ac:dyDescent="0.25">
      <c r="B111" s="2584"/>
      <c r="C111" s="2635" t="str">
        <f>IF(I112=0,"NÃO preencher o proximo quadro","OBRIGADO PREENCHER PROXIMO QUADRO")</f>
        <v>NÃO preencher o proximo quadro</v>
      </c>
      <c r="D111" s="1162"/>
      <c r="E111" s="1162"/>
      <c r="F111" s="1162"/>
      <c r="G111" s="1162"/>
      <c r="H111" s="1162"/>
      <c r="I111" s="1162"/>
      <c r="J111" s="345"/>
      <c r="K111" s="345"/>
      <c r="L111" s="345"/>
      <c r="M111" s="345"/>
      <c r="N111" s="345"/>
      <c r="O111" s="345"/>
      <c r="P111" s="1139"/>
      <c r="Q111" s="345"/>
      <c r="R111" s="345"/>
      <c r="S111" s="345"/>
      <c r="T111" s="345"/>
      <c r="U111" s="345"/>
      <c r="V111" s="345"/>
    </row>
    <row r="112" spans="2:22" ht="24.75" customHeight="1" thickBot="1" x14ac:dyDescent="0.25">
      <c r="B112" s="2584"/>
      <c r="C112" s="2627" t="s">
        <v>113</v>
      </c>
      <c r="D112" s="2597" t="str">
        <f>PRODUÇÃO!B12</f>
        <v/>
      </c>
      <c r="E112" s="2629"/>
      <c r="F112" s="2628"/>
      <c r="G112" s="2630" t="s">
        <v>114</v>
      </c>
      <c r="H112" s="2599"/>
      <c r="I112" s="2598">
        <f>PRODUÇÃO!C12</f>
        <v>0</v>
      </c>
      <c r="J112" s="2915" t="s">
        <v>115</v>
      </c>
      <c r="K112" s="2916"/>
      <c r="L112" s="2917"/>
      <c r="M112" s="1167"/>
      <c r="N112" s="1167"/>
      <c r="O112" s="1168"/>
      <c r="P112" s="1139"/>
    </row>
    <row r="113" spans="2:16" ht="39" thickBot="1" x14ac:dyDescent="0.25">
      <c r="B113" s="2584"/>
      <c r="C113" s="2587" t="s">
        <v>116</v>
      </c>
      <c r="D113" s="2701"/>
      <c r="E113" s="2701"/>
      <c r="F113" s="2589" t="s">
        <v>432</v>
      </c>
      <c r="G113" s="2588" t="s">
        <v>771</v>
      </c>
      <c r="H113" s="2959" t="s">
        <v>118</v>
      </c>
      <c r="I113" s="2960"/>
      <c r="J113" s="1169" t="s">
        <v>119</v>
      </c>
      <c r="K113" s="1169" t="s">
        <v>120</v>
      </c>
      <c r="L113" s="1169" t="s">
        <v>121</v>
      </c>
      <c r="M113" s="1169" t="s">
        <v>122</v>
      </c>
      <c r="N113" s="1169" t="s">
        <v>128</v>
      </c>
      <c r="O113" s="1170" t="s">
        <v>129</v>
      </c>
      <c r="P113" s="1139"/>
    </row>
    <row r="114" spans="2:16" x14ac:dyDescent="0.2">
      <c r="B114" s="2582">
        <v>1</v>
      </c>
      <c r="C114" s="2594" t="s">
        <v>1054</v>
      </c>
      <c r="D114" s="2698"/>
      <c r="E114" s="2699"/>
      <c r="F114" s="2613">
        <f>PRODUÇÃO!I12</f>
        <v>0</v>
      </c>
      <c r="G114" s="2700"/>
      <c r="H114" s="2601"/>
      <c r="I114" s="2602">
        <f t="shared" ref="I114:I131" si="19">F114*G114</f>
        <v>0</v>
      </c>
      <c r="J114" s="1171"/>
      <c r="K114" s="1171"/>
      <c r="L114" s="1171"/>
      <c r="M114" s="1150">
        <f t="shared" ref="M114:M128" si="20">F114*J114/100</f>
        <v>0</v>
      </c>
      <c r="N114" s="1151">
        <f t="shared" ref="N114:N128" si="21">K114*F114/100</f>
        <v>0</v>
      </c>
      <c r="O114" s="1151">
        <f t="shared" ref="O114:O128" si="22">F114*L114/100</f>
        <v>0</v>
      </c>
      <c r="P114" s="1139"/>
    </row>
    <row r="115" spans="2:16" x14ac:dyDescent="0.2">
      <c r="B115" s="2583">
        <f>B114+1</f>
        <v>2</v>
      </c>
      <c r="C115" s="2586" t="s">
        <v>1055</v>
      </c>
      <c r="D115" s="2698"/>
      <c r="E115" s="2444"/>
      <c r="F115" s="2614">
        <f t="shared" ref="F115:F131" si="23">E115*I$112</f>
        <v>0</v>
      </c>
      <c r="G115" s="2443"/>
      <c r="H115" s="2601"/>
      <c r="I115" s="2602">
        <f t="shared" si="19"/>
        <v>0</v>
      </c>
      <c r="J115" s="1152"/>
      <c r="K115" s="1152"/>
      <c r="L115" s="1152"/>
      <c r="M115" s="1150">
        <f t="shared" si="20"/>
        <v>0</v>
      </c>
      <c r="N115" s="1151">
        <f t="shared" si="21"/>
        <v>0</v>
      </c>
      <c r="O115" s="1151">
        <f t="shared" si="22"/>
        <v>0</v>
      </c>
      <c r="P115" s="1139"/>
    </row>
    <row r="116" spans="2:16" x14ac:dyDescent="0.2">
      <c r="B116" s="2583">
        <f t="shared" ref="B116:B131" si="24">B115+1</f>
        <v>3</v>
      </c>
      <c r="C116" s="2586" t="s">
        <v>1056</v>
      </c>
      <c r="D116" s="2698"/>
      <c r="E116" s="2444"/>
      <c r="F116" s="2614">
        <f t="shared" si="23"/>
        <v>0</v>
      </c>
      <c r="G116" s="2443"/>
      <c r="H116" s="2601"/>
      <c r="I116" s="2602">
        <f t="shared" si="19"/>
        <v>0</v>
      </c>
      <c r="J116" s="1152"/>
      <c r="K116" s="1152"/>
      <c r="L116" s="1152"/>
      <c r="M116" s="1150">
        <f t="shared" si="20"/>
        <v>0</v>
      </c>
      <c r="N116" s="1151">
        <f t="shared" si="21"/>
        <v>0</v>
      </c>
      <c r="O116" s="1151">
        <f t="shared" si="22"/>
        <v>0</v>
      </c>
      <c r="P116" s="1139"/>
    </row>
    <row r="117" spans="2:16" x14ac:dyDescent="0.2">
      <c r="B117" s="2583">
        <f t="shared" si="24"/>
        <v>4</v>
      </c>
      <c r="C117" s="2595" t="s">
        <v>675</v>
      </c>
      <c r="D117" s="2698"/>
      <c r="E117" s="2444"/>
      <c r="F117" s="2614">
        <f t="shared" si="23"/>
        <v>0</v>
      </c>
      <c r="G117" s="2443"/>
      <c r="H117" s="2601"/>
      <c r="I117" s="2602">
        <f t="shared" si="19"/>
        <v>0</v>
      </c>
      <c r="J117" s="1152"/>
      <c r="K117" s="1152"/>
      <c r="L117" s="1152"/>
      <c r="M117" s="1150">
        <f t="shared" si="20"/>
        <v>0</v>
      </c>
      <c r="N117" s="1151">
        <f t="shared" si="21"/>
        <v>0</v>
      </c>
      <c r="O117" s="1151">
        <f t="shared" si="22"/>
        <v>0</v>
      </c>
      <c r="P117" s="1139"/>
    </row>
    <row r="118" spans="2:16" x14ac:dyDescent="0.2">
      <c r="B118" s="2583">
        <f t="shared" si="24"/>
        <v>5</v>
      </c>
      <c r="C118" s="2586" t="s">
        <v>1057</v>
      </c>
      <c r="D118" s="2698"/>
      <c r="E118" s="2444"/>
      <c r="F118" s="2614">
        <f t="shared" si="23"/>
        <v>0</v>
      </c>
      <c r="G118" s="2443"/>
      <c r="H118" s="2601"/>
      <c r="I118" s="2602">
        <f t="shared" si="19"/>
        <v>0</v>
      </c>
      <c r="J118" s="1152"/>
      <c r="K118" s="1152"/>
      <c r="L118" s="1152"/>
      <c r="M118" s="1150">
        <f t="shared" si="20"/>
        <v>0</v>
      </c>
      <c r="N118" s="1151">
        <f t="shared" si="21"/>
        <v>0</v>
      </c>
      <c r="O118" s="1151">
        <f t="shared" si="22"/>
        <v>0</v>
      </c>
      <c r="P118" s="1139"/>
    </row>
    <row r="119" spans="2:16" x14ac:dyDescent="0.2">
      <c r="B119" s="2583">
        <f t="shared" si="24"/>
        <v>6</v>
      </c>
      <c r="C119" s="2586" t="s">
        <v>1058</v>
      </c>
      <c r="D119" s="2444"/>
      <c r="E119" s="2444"/>
      <c r="F119" s="2614">
        <f t="shared" si="23"/>
        <v>0</v>
      </c>
      <c r="G119" s="2443"/>
      <c r="H119" s="2601"/>
      <c r="I119" s="2602">
        <f t="shared" si="19"/>
        <v>0</v>
      </c>
      <c r="J119" s="1152"/>
      <c r="K119" s="1152"/>
      <c r="L119" s="1152"/>
      <c r="M119" s="1150">
        <f t="shared" si="20"/>
        <v>0</v>
      </c>
      <c r="N119" s="1151">
        <f t="shared" si="21"/>
        <v>0</v>
      </c>
      <c r="O119" s="1151">
        <f t="shared" si="22"/>
        <v>0</v>
      </c>
      <c r="P119" s="1139"/>
    </row>
    <row r="120" spans="2:16" x14ac:dyDescent="0.2">
      <c r="B120" s="2583">
        <f t="shared" si="24"/>
        <v>7</v>
      </c>
      <c r="C120" s="2586" t="s">
        <v>1059</v>
      </c>
      <c r="D120" s="2444"/>
      <c r="E120" s="2444"/>
      <c r="F120" s="2614">
        <f t="shared" si="23"/>
        <v>0</v>
      </c>
      <c r="G120" s="2443"/>
      <c r="H120" s="2601"/>
      <c r="I120" s="2602">
        <f t="shared" si="19"/>
        <v>0</v>
      </c>
      <c r="J120" s="1152"/>
      <c r="K120" s="1152"/>
      <c r="L120" s="1152"/>
      <c r="M120" s="1150">
        <f t="shared" si="20"/>
        <v>0</v>
      </c>
      <c r="N120" s="1151">
        <f t="shared" si="21"/>
        <v>0</v>
      </c>
      <c r="O120" s="1151">
        <f t="shared" si="22"/>
        <v>0</v>
      </c>
      <c r="P120" s="1139"/>
    </row>
    <row r="121" spans="2:16" x14ac:dyDescent="0.2">
      <c r="B121" s="2583">
        <f t="shared" si="24"/>
        <v>8</v>
      </c>
      <c r="C121" s="2586" t="s">
        <v>1060</v>
      </c>
      <c r="D121" s="2444"/>
      <c r="E121" s="2444"/>
      <c r="F121" s="2614">
        <f t="shared" si="23"/>
        <v>0</v>
      </c>
      <c r="G121" s="2443"/>
      <c r="H121" s="2601"/>
      <c r="I121" s="2602">
        <f t="shared" si="19"/>
        <v>0</v>
      </c>
      <c r="J121" s="1152"/>
      <c r="K121" s="1152"/>
      <c r="L121" s="1152"/>
      <c r="M121" s="1150">
        <f t="shared" si="20"/>
        <v>0</v>
      </c>
      <c r="N121" s="1151">
        <f t="shared" si="21"/>
        <v>0</v>
      </c>
      <c r="O121" s="1151">
        <f t="shared" si="22"/>
        <v>0</v>
      </c>
      <c r="P121" s="1139"/>
    </row>
    <row r="122" spans="2:16" x14ac:dyDescent="0.2">
      <c r="B122" s="2583">
        <f t="shared" si="24"/>
        <v>9</v>
      </c>
      <c r="C122" s="2586" t="s">
        <v>1061</v>
      </c>
      <c r="D122" s="2444"/>
      <c r="E122" s="2444"/>
      <c r="F122" s="2614">
        <f t="shared" si="23"/>
        <v>0</v>
      </c>
      <c r="G122" s="2443"/>
      <c r="H122" s="2601"/>
      <c r="I122" s="2602">
        <f t="shared" si="19"/>
        <v>0</v>
      </c>
      <c r="J122" s="1152"/>
      <c r="K122" s="1152"/>
      <c r="L122" s="1152"/>
      <c r="M122" s="1150">
        <f t="shared" si="20"/>
        <v>0</v>
      </c>
      <c r="N122" s="1151">
        <f t="shared" si="21"/>
        <v>0</v>
      </c>
      <c r="O122" s="1151">
        <f t="shared" si="22"/>
        <v>0</v>
      </c>
      <c r="P122" s="1139"/>
    </row>
    <row r="123" spans="2:16" x14ac:dyDescent="0.2">
      <c r="B123" s="2583">
        <f t="shared" si="24"/>
        <v>10</v>
      </c>
      <c r="C123" s="2586" t="s">
        <v>1062</v>
      </c>
      <c r="D123" s="2444"/>
      <c r="E123" s="2444"/>
      <c r="F123" s="2614">
        <f t="shared" si="23"/>
        <v>0</v>
      </c>
      <c r="G123" s="2443"/>
      <c r="H123" s="2601"/>
      <c r="I123" s="2602">
        <f t="shared" si="19"/>
        <v>0</v>
      </c>
      <c r="J123" s="1152"/>
      <c r="K123" s="1152"/>
      <c r="L123" s="1152"/>
      <c r="M123" s="1150">
        <f t="shared" si="20"/>
        <v>0</v>
      </c>
      <c r="N123" s="1151">
        <f t="shared" si="21"/>
        <v>0</v>
      </c>
      <c r="O123" s="1151">
        <f t="shared" si="22"/>
        <v>0</v>
      </c>
      <c r="P123" s="1139"/>
    </row>
    <row r="124" spans="2:16" x14ac:dyDescent="0.2">
      <c r="B124" s="2583">
        <f t="shared" si="24"/>
        <v>11</v>
      </c>
      <c r="C124" s="2586" t="s">
        <v>1063</v>
      </c>
      <c r="D124" s="2444"/>
      <c r="E124" s="2444"/>
      <c r="F124" s="2614">
        <f t="shared" si="23"/>
        <v>0</v>
      </c>
      <c r="G124" s="2443"/>
      <c r="H124" s="2601"/>
      <c r="I124" s="2602">
        <f t="shared" si="19"/>
        <v>0</v>
      </c>
      <c r="J124" s="1152"/>
      <c r="K124" s="1152"/>
      <c r="L124" s="1152"/>
      <c r="M124" s="1150">
        <f t="shared" si="20"/>
        <v>0</v>
      </c>
      <c r="N124" s="1151">
        <f t="shared" si="21"/>
        <v>0</v>
      </c>
      <c r="O124" s="1151">
        <f t="shared" si="22"/>
        <v>0</v>
      </c>
      <c r="P124" s="1139"/>
    </row>
    <row r="125" spans="2:16" x14ac:dyDescent="0.2">
      <c r="B125" s="2583">
        <f t="shared" si="24"/>
        <v>12</v>
      </c>
      <c r="C125" s="2586" t="s">
        <v>1064</v>
      </c>
      <c r="D125" s="2444"/>
      <c r="E125" s="2444"/>
      <c r="F125" s="2614">
        <f t="shared" si="23"/>
        <v>0</v>
      </c>
      <c r="G125" s="2443"/>
      <c r="H125" s="2601"/>
      <c r="I125" s="2602">
        <f t="shared" si="19"/>
        <v>0</v>
      </c>
      <c r="J125" s="1152"/>
      <c r="K125" s="1152"/>
      <c r="L125" s="1152"/>
      <c r="M125" s="1150">
        <f t="shared" si="20"/>
        <v>0</v>
      </c>
      <c r="N125" s="1151">
        <f t="shared" si="21"/>
        <v>0</v>
      </c>
      <c r="O125" s="1151">
        <f t="shared" si="22"/>
        <v>0</v>
      </c>
      <c r="P125" s="1139"/>
    </row>
    <row r="126" spans="2:16" x14ac:dyDescent="0.2">
      <c r="B126" s="2583">
        <f t="shared" si="24"/>
        <v>13</v>
      </c>
      <c r="C126" s="2586" t="s">
        <v>1065</v>
      </c>
      <c r="D126" s="2444"/>
      <c r="E126" s="2444"/>
      <c r="F126" s="2614">
        <f t="shared" si="23"/>
        <v>0</v>
      </c>
      <c r="G126" s="2443"/>
      <c r="H126" s="2601"/>
      <c r="I126" s="2602">
        <f t="shared" si="19"/>
        <v>0</v>
      </c>
      <c r="J126" s="1152"/>
      <c r="K126" s="1152"/>
      <c r="L126" s="1152"/>
      <c r="M126" s="1150">
        <f t="shared" si="20"/>
        <v>0</v>
      </c>
      <c r="N126" s="1151">
        <f t="shared" si="21"/>
        <v>0</v>
      </c>
      <c r="O126" s="1151">
        <f t="shared" si="22"/>
        <v>0</v>
      </c>
      <c r="P126" s="1139"/>
    </row>
    <row r="127" spans="2:16" ht="13.5" thickBot="1" x14ac:dyDescent="0.25">
      <c r="B127" s="2583">
        <f t="shared" si="24"/>
        <v>14</v>
      </c>
      <c r="C127" s="2586" t="s">
        <v>916</v>
      </c>
      <c r="D127" s="2615"/>
      <c r="E127" s="2615"/>
      <c r="F127" s="2616">
        <f t="shared" si="23"/>
        <v>0</v>
      </c>
      <c r="G127" s="2617"/>
      <c r="H127" s="2603"/>
      <c r="I127" s="2604">
        <f t="shared" si="19"/>
        <v>0</v>
      </c>
      <c r="J127" s="1152"/>
      <c r="K127" s="1152"/>
      <c r="L127" s="1152"/>
      <c r="M127" s="1150">
        <f t="shared" si="20"/>
        <v>0</v>
      </c>
      <c r="N127" s="1151">
        <f t="shared" si="21"/>
        <v>0</v>
      </c>
      <c r="O127" s="1151">
        <f t="shared" si="22"/>
        <v>0</v>
      </c>
      <c r="P127" s="1139"/>
    </row>
    <row r="128" spans="2:16" ht="13.5" thickBot="1" x14ac:dyDescent="0.25">
      <c r="B128" s="2583">
        <f t="shared" si="24"/>
        <v>15</v>
      </c>
      <c r="C128" s="1892" t="s">
        <v>890</v>
      </c>
      <c r="D128" s="2631" t="s">
        <v>619</v>
      </c>
      <c r="E128" s="2631">
        <v>1</v>
      </c>
      <c r="F128" s="2618">
        <f t="shared" si="23"/>
        <v>0</v>
      </c>
      <c r="G128" s="2619">
        <f>F14</f>
        <v>0</v>
      </c>
      <c r="H128" s="2620"/>
      <c r="I128" s="2621">
        <f t="shared" si="19"/>
        <v>0</v>
      </c>
      <c r="J128" s="1174"/>
      <c r="K128" s="1153"/>
      <c r="L128" s="1153"/>
      <c r="M128" s="1154">
        <f t="shared" si="20"/>
        <v>0</v>
      </c>
      <c r="N128" s="1155">
        <f t="shared" si="21"/>
        <v>0</v>
      </c>
      <c r="O128" s="1155">
        <f t="shared" si="22"/>
        <v>0</v>
      </c>
      <c r="P128" s="1139"/>
    </row>
    <row r="129" spans="2:22" x14ac:dyDescent="0.2">
      <c r="B129" s="2583">
        <f t="shared" si="24"/>
        <v>16</v>
      </c>
      <c r="C129" s="2659"/>
      <c r="D129" s="2622"/>
      <c r="E129" s="2622"/>
      <c r="F129" s="2623">
        <f t="shared" si="23"/>
        <v>0</v>
      </c>
      <c r="G129" s="2624"/>
      <c r="H129" s="2605"/>
      <c r="I129" s="2606">
        <f t="shared" si="19"/>
        <v>0</v>
      </c>
      <c r="J129" s="1704"/>
      <c r="K129" s="1153"/>
      <c r="L129" s="1153"/>
      <c r="M129" s="1154"/>
      <c r="N129" s="1155"/>
      <c r="O129" s="1155"/>
      <c r="P129" s="1139"/>
    </row>
    <row r="130" spans="2:22" x14ac:dyDescent="0.2">
      <c r="B130" s="2583">
        <f t="shared" si="24"/>
        <v>17</v>
      </c>
      <c r="C130" s="29"/>
      <c r="D130" s="2444"/>
      <c r="E130" s="2444"/>
      <c r="F130" s="2614">
        <f t="shared" si="23"/>
        <v>0</v>
      </c>
      <c r="G130" s="2443"/>
      <c r="H130" s="2601"/>
      <c r="I130" s="2602">
        <f t="shared" si="19"/>
        <v>0</v>
      </c>
      <c r="J130" s="1704"/>
      <c r="K130" s="1153"/>
      <c r="L130" s="1153"/>
      <c r="M130" s="1154"/>
      <c r="N130" s="1155"/>
      <c r="O130" s="1155"/>
      <c r="P130" s="1139"/>
    </row>
    <row r="131" spans="2:22" ht="13.5" thickBot="1" x14ac:dyDescent="0.25">
      <c r="B131" s="2583">
        <f t="shared" si="24"/>
        <v>18</v>
      </c>
      <c r="C131" s="29"/>
      <c r="D131" s="2447"/>
      <c r="E131" s="2447"/>
      <c r="F131" s="2625">
        <f t="shared" si="23"/>
        <v>0</v>
      </c>
      <c r="G131" s="2626"/>
      <c r="H131" s="2607"/>
      <c r="I131" s="2608">
        <f t="shared" si="19"/>
        <v>0</v>
      </c>
      <c r="J131" s="1704"/>
      <c r="K131" s="1153"/>
      <c r="L131" s="1153"/>
      <c r="M131" s="1154"/>
      <c r="N131" s="1155"/>
      <c r="O131" s="1155"/>
      <c r="P131" s="1139"/>
    </row>
    <row r="132" spans="2:22" ht="19.5" customHeight="1" thickBot="1" x14ac:dyDescent="0.25">
      <c r="B132" s="2584"/>
      <c r="C132" s="1156"/>
      <c r="D132" s="345"/>
      <c r="E132" s="345"/>
      <c r="F132" s="2645"/>
      <c r="G132" s="2643" t="s">
        <v>434</v>
      </c>
      <c r="H132" s="2632"/>
      <c r="I132" s="2639">
        <f>SUM(SUMIF(I114:I131,"&gt;0",I114:I131))</f>
        <v>0</v>
      </c>
      <c r="J132" s="1157"/>
      <c r="K132" s="1158" t="s">
        <v>125</v>
      </c>
      <c r="L132" s="1158"/>
      <c r="M132" s="1159">
        <f>SUM(M114:M128)</f>
        <v>0</v>
      </c>
      <c r="N132" s="1159">
        <f>SUM(N114:N128)</f>
        <v>0</v>
      </c>
      <c r="O132" s="1160">
        <f>SUM(O114:O128)</f>
        <v>0</v>
      </c>
      <c r="P132" s="1139"/>
    </row>
    <row r="133" spans="2:22" ht="19.5" customHeight="1" thickBot="1" x14ac:dyDescent="0.25">
      <c r="B133" s="2584"/>
      <c r="C133" s="1156"/>
      <c r="D133" s="345"/>
      <c r="E133" s="345"/>
      <c r="F133" s="2645"/>
      <c r="G133" s="2644" t="s">
        <v>130</v>
      </c>
      <c r="H133" s="2633"/>
      <c r="I133" s="2638">
        <f>IF(I112=0,0,I132/I112)</f>
        <v>0</v>
      </c>
      <c r="J133" s="1163"/>
      <c r="K133" s="1164" t="s">
        <v>127</v>
      </c>
      <c r="L133" s="1164"/>
      <c r="M133" s="1165" t="e">
        <f>M132/$I$112</f>
        <v>#DIV/0!</v>
      </c>
      <c r="N133" s="1165" t="e">
        <f>N132/$I$112</f>
        <v>#DIV/0!</v>
      </c>
      <c r="O133" s="1166" t="e">
        <f>O132/$I$112</f>
        <v>#DIV/0!</v>
      </c>
      <c r="P133" s="1139"/>
    </row>
    <row r="134" spans="2:22" x14ac:dyDescent="0.2">
      <c r="B134" s="2584"/>
      <c r="C134" s="1156"/>
      <c r="D134" s="345"/>
      <c r="E134" s="345"/>
      <c r="F134" s="345"/>
      <c r="G134" s="1177"/>
      <c r="H134" s="2634"/>
      <c r="I134" s="2634"/>
      <c r="J134" s="345"/>
      <c r="K134" s="345"/>
      <c r="L134" s="345"/>
      <c r="M134" s="345"/>
      <c r="N134" s="345"/>
      <c r="O134" s="345"/>
      <c r="P134" s="1139"/>
    </row>
    <row r="135" spans="2:22" s="1138" customFormat="1" ht="13.5" thickBot="1" x14ac:dyDescent="0.25">
      <c r="B135" s="2584"/>
      <c r="C135" s="2635" t="str">
        <f>IF(I136=0,"NÃO preencher o proximo quadro","OBRIGADO PREENCHER PROXIMO QUADRO")</f>
        <v>NÃO preencher o proximo quadro</v>
      </c>
      <c r="D135" s="1162"/>
      <c r="E135" s="1162"/>
      <c r="F135" s="1162"/>
      <c r="G135" s="1162"/>
      <c r="H135" s="1162"/>
      <c r="I135" s="1162"/>
      <c r="J135" s="345"/>
      <c r="K135" s="345"/>
      <c r="L135" s="345"/>
      <c r="M135" s="345"/>
      <c r="N135" s="345"/>
      <c r="O135" s="345"/>
      <c r="P135" s="1139"/>
      <c r="Q135" s="345"/>
      <c r="R135" s="345"/>
      <c r="S135" s="345"/>
      <c r="T135" s="345"/>
      <c r="U135" s="345"/>
      <c r="V135" s="345"/>
    </row>
    <row r="136" spans="2:22" ht="24.75" customHeight="1" thickBot="1" x14ac:dyDescent="0.25">
      <c r="B136" s="2584"/>
      <c r="C136" s="2627" t="s">
        <v>113</v>
      </c>
      <c r="D136" s="2597" t="str">
        <f>PRODUÇÃO!B13</f>
        <v/>
      </c>
      <c r="E136" s="2629"/>
      <c r="F136" s="2628"/>
      <c r="G136" s="2630" t="s">
        <v>114</v>
      </c>
      <c r="H136" s="2599"/>
      <c r="I136" s="2598">
        <f>PRODUÇÃO!C13</f>
        <v>0</v>
      </c>
      <c r="J136" s="2915" t="s">
        <v>115</v>
      </c>
      <c r="K136" s="2916"/>
      <c r="L136" s="2917"/>
      <c r="M136" s="1167"/>
      <c r="N136" s="1167"/>
      <c r="O136" s="1168"/>
      <c r="P136" s="1139"/>
    </row>
    <row r="137" spans="2:22" ht="39" thickBot="1" x14ac:dyDescent="0.25">
      <c r="B137" s="2584"/>
      <c r="C137" s="2587" t="s">
        <v>116</v>
      </c>
      <c r="D137" s="2588" t="s">
        <v>772</v>
      </c>
      <c r="E137" s="2588" t="s">
        <v>770</v>
      </c>
      <c r="F137" s="2589" t="s">
        <v>432</v>
      </c>
      <c r="G137" s="2588" t="s">
        <v>771</v>
      </c>
      <c r="H137" s="2959" t="s">
        <v>118</v>
      </c>
      <c r="I137" s="2960"/>
      <c r="J137" s="1169" t="s">
        <v>119</v>
      </c>
      <c r="K137" s="1169" t="s">
        <v>120</v>
      </c>
      <c r="L137" s="1169" t="s">
        <v>121</v>
      </c>
      <c r="M137" s="1169" t="s">
        <v>122</v>
      </c>
      <c r="N137" s="1169" t="s">
        <v>128</v>
      </c>
      <c r="O137" s="1170" t="s">
        <v>129</v>
      </c>
      <c r="P137" s="1139"/>
    </row>
    <row r="138" spans="2:22" x14ac:dyDescent="0.2">
      <c r="B138" s="2582">
        <v>1</v>
      </c>
      <c r="C138" s="2594" t="s">
        <v>1054</v>
      </c>
      <c r="D138" s="2698"/>
      <c r="E138" s="2699"/>
      <c r="F138" s="2613">
        <f>PRODUÇÃO!I13</f>
        <v>0</v>
      </c>
      <c r="G138" s="2700"/>
      <c r="H138" s="2601"/>
      <c r="I138" s="2602">
        <f t="shared" ref="I138:I151" si="25">F138*G138</f>
        <v>0</v>
      </c>
      <c r="J138" s="1171"/>
      <c r="K138" s="1171"/>
      <c r="L138" s="1171"/>
      <c r="M138" s="1150">
        <f t="shared" ref="M138:M151" si="26">F138*J138/100</f>
        <v>0</v>
      </c>
      <c r="N138" s="1151">
        <f t="shared" ref="N138:N151" si="27">K138*F138/100</f>
        <v>0</v>
      </c>
      <c r="O138" s="1151">
        <f t="shared" ref="O138:O151" si="28">F138*L138/100</f>
        <v>0</v>
      </c>
      <c r="P138" s="1139"/>
    </row>
    <row r="139" spans="2:22" x14ac:dyDescent="0.2">
      <c r="B139" s="2583">
        <f>B138+1</f>
        <v>2</v>
      </c>
      <c r="C139" s="2586" t="s">
        <v>1055</v>
      </c>
      <c r="D139" s="2698"/>
      <c r="E139" s="2444"/>
      <c r="F139" s="2614">
        <f t="shared" ref="F139:F155" si="29">E139*I$136</f>
        <v>0</v>
      </c>
      <c r="G139" s="2443"/>
      <c r="H139" s="2601"/>
      <c r="I139" s="2602">
        <f t="shared" si="25"/>
        <v>0</v>
      </c>
      <c r="J139" s="1152"/>
      <c r="K139" s="1152"/>
      <c r="L139" s="1152"/>
      <c r="M139" s="1150">
        <f t="shared" si="26"/>
        <v>0</v>
      </c>
      <c r="N139" s="1151">
        <f t="shared" si="27"/>
        <v>0</v>
      </c>
      <c r="O139" s="1151">
        <f t="shared" si="28"/>
        <v>0</v>
      </c>
      <c r="P139" s="1139"/>
    </row>
    <row r="140" spans="2:22" x14ac:dyDescent="0.2">
      <c r="B140" s="2583">
        <f t="shared" ref="B140:B152" si="30">B139+1</f>
        <v>3</v>
      </c>
      <c r="C140" s="2586" t="s">
        <v>1056</v>
      </c>
      <c r="D140" s="2698"/>
      <c r="E140" s="2444"/>
      <c r="F140" s="2614">
        <f t="shared" si="29"/>
        <v>0</v>
      </c>
      <c r="G140" s="2443"/>
      <c r="H140" s="2601"/>
      <c r="I140" s="2602">
        <f t="shared" si="25"/>
        <v>0</v>
      </c>
      <c r="J140" s="1152"/>
      <c r="K140" s="1152"/>
      <c r="L140" s="1152"/>
      <c r="M140" s="1150">
        <f t="shared" si="26"/>
        <v>0</v>
      </c>
      <c r="N140" s="1151">
        <f t="shared" si="27"/>
        <v>0</v>
      </c>
      <c r="O140" s="1151">
        <f t="shared" si="28"/>
        <v>0</v>
      </c>
      <c r="P140" s="1139"/>
    </row>
    <row r="141" spans="2:22" x14ac:dyDescent="0.2">
      <c r="B141" s="2583">
        <f t="shared" si="30"/>
        <v>4</v>
      </c>
      <c r="C141" s="2595" t="s">
        <v>675</v>
      </c>
      <c r="D141" s="2698"/>
      <c r="E141" s="2444"/>
      <c r="F141" s="2614">
        <f t="shared" si="29"/>
        <v>0</v>
      </c>
      <c r="G141" s="2443"/>
      <c r="H141" s="2601"/>
      <c r="I141" s="2602">
        <f t="shared" si="25"/>
        <v>0</v>
      </c>
      <c r="J141" s="1152"/>
      <c r="K141" s="1152"/>
      <c r="L141" s="1152"/>
      <c r="M141" s="1150">
        <f t="shared" si="26"/>
        <v>0</v>
      </c>
      <c r="N141" s="1151">
        <f t="shared" si="27"/>
        <v>0</v>
      </c>
      <c r="O141" s="1151">
        <f t="shared" si="28"/>
        <v>0</v>
      </c>
      <c r="P141" s="1139"/>
    </row>
    <row r="142" spans="2:22" x14ac:dyDescent="0.2">
      <c r="B142" s="2583">
        <f t="shared" si="30"/>
        <v>5</v>
      </c>
      <c r="C142" s="2586" t="s">
        <v>1057</v>
      </c>
      <c r="D142" s="2698"/>
      <c r="E142" s="2444"/>
      <c r="F142" s="2614">
        <f t="shared" si="29"/>
        <v>0</v>
      </c>
      <c r="G142" s="2443"/>
      <c r="H142" s="2601"/>
      <c r="I142" s="2602">
        <f t="shared" si="25"/>
        <v>0</v>
      </c>
      <c r="J142" s="1152"/>
      <c r="K142" s="1152"/>
      <c r="L142" s="1152"/>
      <c r="M142" s="1150">
        <f t="shared" si="26"/>
        <v>0</v>
      </c>
      <c r="N142" s="1151">
        <f t="shared" si="27"/>
        <v>0</v>
      </c>
      <c r="O142" s="1151">
        <f t="shared" si="28"/>
        <v>0</v>
      </c>
      <c r="P142" s="1139"/>
    </row>
    <row r="143" spans="2:22" x14ac:dyDescent="0.2">
      <c r="B143" s="2583">
        <f t="shared" si="30"/>
        <v>6</v>
      </c>
      <c r="C143" s="2586" t="s">
        <v>1058</v>
      </c>
      <c r="D143" s="2444"/>
      <c r="E143" s="2444"/>
      <c r="F143" s="2614">
        <f t="shared" si="29"/>
        <v>0</v>
      </c>
      <c r="G143" s="2443"/>
      <c r="H143" s="2601"/>
      <c r="I143" s="2602">
        <f t="shared" si="25"/>
        <v>0</v>
      </c>
      <c r="J143" s="1152"/>
      <c r="K143" s="1152"/>
      <c r="L143" s="1152"/>
      <c r="M143" s="1150">
        <f t="shared" si="26"/>
        <v>0</v>
      </c>
      <c r="N143" s="1151">
        <f t="shared" si="27"/>
        <v>0</v>
      </c>
      <c r="O143" s="1151">
        <f t="shared" si="28"/>
        <v>0</v>
      </c>
      <c r="P143" s="1139"/>
    </row>
    <row r="144" spans="2:22" x14ac:dyDescent="0.2">
      <c r="B144" s="2583">
        <f t="shared" si="30"/>
        <v>7</v>
      </c>
      <c r="C144" s="2586" t="s">
        <v>1059</v>
      </c>
      <c r="D144" s="2444"/>
      <c r="E144" s="2444"/>
      <c r="F144" s="2614">
        <f t="shared" si="29"/>
        <v>0</v>
      </c>
      <c r="G144" s="2443"/>
      <c r="H144" s="2601"/>
      <c r="I144" s="2602">
        <f t="shared" si="25"/>
        <v>0</v>
      </c>
      <c r="J144" s="1152"/>
      <c r="K144" s="1152"/>
      <c r="L144" s="1152"/>
      <c r="M144" s="1150">
        <f t="shared" si="26"/>
        <v>0</v>
      </c>
      <c r="N144" s="1151">
        <f t="shared" si="27"/>
        <v>0</v>
      </c>
      <c r="O144" s="1151">
        <f t="shared" si="28"/>
        <v>0</v>
      </c>
      <c r="P144" s="1139"/>
    </row>
    <row r="145" spans="2:16" x14ac:dyDescent="0.2">
      <c r="B145" s="2583">
        <f t="shared" si="30"/>
        <v>8</v>
      </c>
      <c r="C145" s="2586" t="s">
        <v>1060</v>
      </c>
      <c r="D145" s="2444"/>
      <c r="E145" s="2444"/>
      <c r="F145" s="2614">
        <f t="shared" si="29"/>
        <v>0</v>
      </c>
      <c r="G145" s="2443"/>
      <c r="H145" s="2601"/>
      <c r="I145" s="2602">
        <f t="shared" si="25"/>
        <v>0</v>
      </c>
      <c r="J145" s="1152"/>
      <c r="K145" s="1152"/>
      <c r="L145" s="1152"/>
      <c r="M145" s="1150">
        <f t="shared" si="26"/>
        <v>0</v>
      </c>
      <c r="N145" s="1151">
        <f t="shared" si="27"/>
        <v>0</v>
      </c>
      <c r="O145" s="1151">
        <f t="shared" si="28"/>
        <v>0</v>
      </c>
      <c r="P145" s="1139"/>
    </row>
    <row r="146" spans="2:16" x14ac:dyDescent="0.2">
      <c r="B146" s="2583">
        <f t="shared" si="30"/>
        <v>9</v>
      </c>
      <c r="C146" s="2586" t="s">
        <v>1061</v>
      </c>
      <c r="D146" s="2444"/>
      <c r="E146" s="2444"/>
      <c r="F146" s="2614">
        <f t="shared" si="29"/>
        <v>0</v>
      </c>
      <c r="G146" s="2443"/>
      <c r="H146" s="2601"/>
      <c r="I146" s="2602">
        <f t="shared" si="25"/>
        <v>0</v>
      </c>
      <c r="J146" s="1152"/>
      <c r="K146" s="1152"/>
      <c r="L146" s="1152"/>
      <c r="M146" s="1150">
        <f t="shared" si="26"/>
        <v>0</v>
      </c>
      <c r="N146" s="1151">
        <f t="shared" si="27"/>
        <v>0</v>
      </c>
      <c r="O146" s="1151">
        <f t="shared" si="28"/>
        <v>0</v>
      </c>
      <c r="P146" s="1139"/>
    </row>
    <row r="147" spans="2:16" x14ac:dyDescent="0.2">
      <c r="B147" s="2583">
        <f t="shared" si="30"/>
        <v>10</v>
      </c>
      <c r="C147" s="2586" t="s">
        <v>1062</v>
      </c>
      <c r="D147" s="2444"/>
      <c r="E147" s="2444"/>
      <c r="F147" s="2614">
        <f t="shared" si="29"/>
        <v>0</v>
      </c>
      <c r="G147" s="2443"/>
      <c r="H147" s="2601"/>
      <c r="I147" s="2602">
        <f t="shared" si="25"/>
        <v>0</v>
      </c>
      <c r="J147" s="1152"/>
      <c r="K147" s="1152"/>
      <c r="L147" s="1152"/>
      <c r="M147" s="1150">
        <f t="shared" si="26"/>
        <v>0</v>
      </c>
      <c r="N147" s="1151">
        <f t="shared" si="27"/>
        <v>0</v>
      </c>
      <c r="O147" s="1151">
        <f t="shared" si="28"/>
        <v>0</v>
      </c>
      <c r="P147" s="1139"/>
    </row>
    <row r="148" spans="2:16" x14ac:dyDescent="0.2">
      <c r="B148" s="2583">
        <f t="shared" si="30"/>
        <v>11</v>
      </c>
      <c r="C148" s="2586" t="s">
        <v>1063</v>
      </c>
      <c r="D148" s="2444"/>
      <c r="E148" s="2444"/>
      <c r="F148" s="2614">
        <f t="shared" si="29"/>
        <v>0</v>
      </c>
      <c r="G148" s="2443"/>
      <c r="H148" s="2601"/>
      <c r="I148" s="2602">
        <f t="shared" si="25"/>
        <v>0</v>
      </c>
      <c r="J148" s="1152"/>
      <c r="K148" s="1152"/>
      <c r="L148" s="1152"/>
      <c r="M148" s="1150">
        <f t="shared" si="26"/>
        <v>0</v>
      </c>
      <c r="N148" s="1151">
        <f t="shared" si="27"/>
        <v>0</v>
      </c>
      <c r="O148" s="1151">
        <f t="shared" si="28"/>
        <v>0</v>
      </c>
      <c r="P148" s="1139"/>
    </row>
    <row r="149" spans="2:16" x14ac:dyDescent="0.2">
      <c r="B149" s="2583">
        <f t="shared" si="30"/>
        <v>12</v>
      </c>
      <c r="C149" s="2586" t="s">
        <v>1064</v>
      </c>
      <c r="D149" s="2444"/>
      <c r="E149" s="2444"/>
      <c r="F149" s="2614">
        <f t="shared" si="29"/>
        <v>0</v>
      </c>
      <c r="G149" s="2443"/>
      <c r="H149" s="2601"/>
      <c r="I149" s="2602">
        <f>F149*G149</f>
        <v>0</v>
      </c>
      <c r="J149" s="1152"/>
      <c r="K149" s="1152"/>
      <c r="L149" s="1152"/>
      <c r="M149" s="1150">
        <f t="shared" si="26"/>
        <v>0</v>
      </c>
      <c r="N149" s="1151">
        <f t="shared" si="27"/>
        <v>0</v>
      </c>
      <c r="O149" s="1151">
        <f t="shared" si="28"/>
        <v>0</v>
      </c>
      <c r="P149" s="1139"/>
    </row>
    <row r="150" spans="2:16" x14ac:dyDescent="0.2">
      <c r="B150" s="2583">
        <f t="shared" si="30"/>
        <v>13</v>
      </c>
      <c r="C150" s="2586" t="s">
        <v>1065</v>
      </c>
      <c r="D150" s="2444"/>
      <c r="E150" s="2444"/>
      <c r="F150" s="2614">
        <f t="shared" si="29"/>
        <v>0</v>
      </c>
      <c r="G150" s="2443"/>
      <c r="H150" s="2601"/>
      <c r="I150" s="2602">
        <f t="shared" si="25"/>
        <v>0</v>
      </c>
      <c r="J150" s="1152"/>
      <c r="K150" s="1152"/>
      <c r="L150" s="1152"/>
      <c r="M150" s="1150">
        <f t="shared" si="26"/>
        <v>0</v>
      </c>
      <c r="N150" s="1151">
        <f t="shared" si="27"/>
        <v>0</v>
      </c>
      <c r="O150" s="1151">
        <f t="shared" si="28"/>
        <v>0</v>
      </c>
      <c r="P150" s="1139"/>
    </row>
    <row r="151" spans="2:16" ht="13.5" thickBot="1" x14ac:dyDescent="0.25">
      <c r="B151" s="2583">
        <f t="shared" si="30"/>
        <v>14</v>
      </c>
      <c r="C151" s="2586" t="s">
        <v>916</v>
      </c>
      <c r="D151" s="2615"/>
      <c r="E151" s="2615"/>
      <c r="F151" s="2616">
        <f t="shared" si="29"/>
        <v>0</v>
      </c>
      <c r="G151" s="2617"/>
      <c r="H151" s="2603"/>
      <c r="I151" s="2604">
        <f t="shared" si="25"/>
        <v>0</v>
      </c>
      <c r="J151" s="1152"/>
      <c r="K151" s="1152"/>
      <c r="L151" s="1152"/>
      <c r="M151" s="1150">
        <f t="shared" si="26"/>
        <v>0</v>
      </c>
      <c r="N151" s="1151">
        <f t="shared" si="27"/>
        <v>0</v>
      </c>
      <c r="O151" s="1151">
        <f t="shared" si="28"/>
        <v>0</v>
      </c>
      <c r="P151" s="1139"/>
    </row>
    <row r="152" spans="2:16" ht="13.5" thickBot="1" x14ac:dyDescent="0.25">
      <c r="B152" s="2583">
        <f t="shared" si="30"/>
        <v>15</v>
      </c>
      <c r="C152" s="1892" t="s">
        <v>890</v>
      </c>
      <c r="D152" s="2631" t="s">
        <v>619</v>
      </c>
      <c r="E152" s="2631">
        <v>1</v>
      </c>
      <c r="F152" s="2618">
        <f t="shared" si="29"/>
        <v>0</v>
      </c>
      <c r="G152" s="2619">
        <f>F15</f>
        <v>0</v>
      </c>
      <c r="H152" s="2620"/>
      <c r="I152" s="2621">
        <f>F152*G152</f>
        <v>0</v>
      </c>
      <c r="J152" s="1174"/>
      <c r="K152" s="1153"/>
      <c r="L152" s="1153"/>
      <c r="M152" s="1154">
        <f>F154*J152/100</f>
        <v>0</v>
      </c>
      <c r="N152" s="1155">
        <f>K152*F154/100</f>
        <v>0</v>
      </c>
      <c r="O152" s="1155">
        <f>F154*L152/100</f>
        <v>0</v>
      </c>
      <c r="P152" s="1139"/>
    </row>
    <row r="153" spans="2:16" x14ac:dyDescent="0.2">
      <c r="B153" s="2583">
        <f>B152+1</f>
        <v>16</v>
      </c>
      <c r="C153" s="2659"/>
      <c r="D153" s="2622"/>
      <c r="E153" s="2622"/>
      <c r="F153" s="2623">
        <f t="shared" si="29"/>
        <v>0</v>
      </c>
      <c r="G153" s="2624"/>
      <c r="H153" s="2605"/>
      <c r="I153" s="2606">
        <f>F155*G153</f>
        <v>0</v>
      </c>
      <c r="J153" s="1704"/>
      <c r="K153" s="1153"/>
      <c r="L153" s="1153"/>
      <c r="M153" s="1154"/>
      <c r="N153" s="1155"/>
      <c r="O153" s="1155"/>
      <c r="P153" s="1139"/>
    </row>
    <row r="154" spans="2:16" x14ac:dyDescent="0.2">
      <c r="B154" s="2583">
        <f>B153+1</f>
        <v>17</v>
      </c>
      <c r="C154" s="29"/>
      <c r="D154" s="2444"/>
      <c r="E154" s="2444"/>
      <c r="F154" s="2614">
        <f t="shared" si="29"/>
        <v>0</v>
      </c>
      <c r="G154" s="2443"/>
      <c r="H154" s="2601"/>
      <c r="I154" s="2602">
        <f>F156*G154</f>
        <v>0</v>
      </c>
      <c r="J154" s="1704"/>
      <c r="K154" s="1153"/>
      <c r="L154" s="1153"/>
      <c r="M154" s="1154"/>
      <c r="N154" s="1155"/>
      <c r="O154" s="1155"/>
      <c r="P154" s="1139"/>
    </row>
    <row r="155" spans="2:16" ht="13.5" thickBot="1" x14ac:dyDescent="0.25">
      <c r="B155" s="2583">
        <f>B154+1</f>
        <v>18</v>
      </c>
      <c r="C155" s="29"/>
      <c r="D155" s="2447"/>
      <c r="E155" s="2447"/>
      <c r="F155" s="2625">
        <f t="shared" si="29"/>
        <v>0</v>
      </c>
      <c r="G155" s="2626"/>
      <c r="H155" s="2607"/>
      <c r="I155" s="2608">
        <f>F157*G155</f>
        <v>0</v>
      </c>
      <c r="J155" s="1704"/>
      <c r="K155" s="1153"/>
      <c r="L155" s="1153"/>
      <c r="M155" s="1154"/>
      <c r="N155" s="1155"/>
      <c r="O155" s="1155"/>
      <c r="P155" s="1139"/>
    </row>
    <row r="156" spans="2:16" ht="19.5" customHeight="1" thickBot="1" x14ac:dyDescent="0.25">
      <c r="B156" s="2584"/>
      <c r="C156" s="1156"/>
      <c r="D156" s="345"/>
      <c r="E156" s="345"/>
      <c r="F156" s="2645"/>
      <c r="G156" s="2643" t="s">
        <v>434</v>
      </c>
      <c r="H156" s="2632"/>
      <c r="I156" s="2639">
        <f>SUM(SUMIF(I138:I155,"&gt;0",I138:I155))</f>
        <v>0</v>
      </c>
      <c r="J156" s="1157"/>
      <c r="K156" s="1158" t="s">
        <v>125</v>
      </c>
      <c r="L156" s="1158"/>
      <c r="M156" s="1159">
        <f>SUM(M138:M152)</f>
        <v>0</v>
      </c>
      <c r="N156" s="1159">
        <f>SUM(N138:N152)</f>
        <v>0</v>
      </c>
      <c r="O156" s="1160">
        <f>SUM(O138:O152)</f>
        <v>0</v>
      </c>
      <c r="P156" s="1139"/>
    </row>
    <row r="157" spans="2:16" ht="19.5" customHeight="1" thickBot="1" x14ac:dyDescent="0.25">
      <c r="B157" s="2584"/>
      <c r="C157" s="1156"/>
      <c r="D157" s="345"/>
      <c r="E157" s="345"/>
      <c r="F157" s="2645"/>
      <c r="G157" s="2644" t="s">
        <v>130</v>
      </c>
      <c r="H157" s="2633"/>
      <c r="I157" s="2638">
        <f>IF(I136=0,0,I156/I136)</f>
        <v>0</v>
      </c>
      <c r="J157" s="1163"/>
      <c r="K157" s="1164" t="s">
        <v>127</v>
      </c>
      <c r="L157" s="1164"/>
      <c r="M157" s="1165" t="e">
        <f>M156/$I$136</f>
        <v>#DIV/0!</v>
      </c>
      <c r="N157" s="1165" t="e">
        <f>N156/$I$136</f>
        <v>#DIV/0!</v>
      </c>
      <c r="O157" s="1166" t="e">
        <f>O156/$I$136</f>
        <v>#DIV/0!</v>
      </c>
      <c r="P157" s="1139"/>
    </row>
    <row r="158" spans="2:16" ht="27.75" customHeight="1" thickBot="1" x14ac:dyDescent="0.25">
      <c r="B158" s="2584"/>
      <c r="C158" s="2648" t="str">
        <f>IF(I159=0,"NÃO preencher o proximo quadro","OBRIGADO PREENCHER PROXIMO QUADRO")</f>
        <v>NÃO preencher o proximo quadro</v>
      </c>
      <c r="D158" s="345"/>
      <c r="E158" s="345"/>
      <c r="F158" s="345"/>
      <c r="G158" s="1177"/>
      <c r="H158" s="2634"/>
      <c r="I158" s="2658"/>
      <c r="J158" s="345"/>
      <c r="K158" s="345"/>
      <c r="L158" s="345"/>
      <c r="M158" s="345"/>
      <c r="N158" s="345"/>
      <c r="O158" s="345"/>
      <c r="P158" s="1139"/>
    </row>
    <row r="159" spans="2:16" ht="24.75" customHeight="1" thickBot="1" x14ac:dyDescent="0.25">
      <c r="B159" s="2584"/>
      <c r="C159" s="2627" t="s">
        <v>113</v>
      </c>
      <c r="D159" s="2597">
        <f>SOLO!G18</f>
        <v>0</v>
      </c>
      <c r="E159" s="2629"/>
      <c r="F159" s="2628"/>
      <c r="G159" s="2630" t="s">
        <v>114</v>
      </c>
      <c r="H159" s="2599"/>
      <c r="I159" s="2598">
        <f>SOLO!I18+SOLO!J18</f>
        <v>0</v>
      </c>
      <c r="J159" s="2915" t="s">
        <v>115</v>
      </c>
      <c r="K159" s="2916"/>
      <c r="L159" s="2917"/>
      <c r="M159" s="1167"/>
      <c r="N159" s="1167"/>
      <c r="O159" s="1168"/>
      <c r="P159" s="1139"/>
    </row>
    <row r="160" spans="2:16" ht="39" thickBot="1" x14ac:dyDescent="0.25">
      <c r="B160" s="2584"/>
      <c r="C160" s="2587" t="s">
        <v>116</v>
      </c>
      <c r="D160" s="2588" t="s">
        <v>772</v>
      </c>
      <c r="E160" s="2588" t="s">
        <v>770</v>
      </c>
      <c r="F160" s="2589" t="s">
        <v>432</v>
      </c>
      <c r="G160" s="2588" t="s">
        <v>771</v>
      </c>
      <c r="H160" s="2959" t="s">
        <v>118</v>
      </c>
      <c r="I160" s="2960"/>
      <c r="J160" s="1169" t="s">
        <v>119</v>
      </c>
      <c r="K160" s="1169" t="s">
        <v>120</v>
      </c>
      <c r="L160" s="1169" t="s">
        <v>121</v>
      </c>
      <c r="M160" s="1169" t="s">
        <v>122</v>
      </c>
      <c r="N160" s="1169" t="s">
        <v>128</v>
      </c>
      <c r="O160" s="1170" t="s">
        <v>129</v>
      </c>
      <c r="P160" s="1139"/>
    </row>
    <row r="161" spans="2:16" x14ac:dyDescent="0.2">
      <c r="B161" s="2582">
        <v>1</v>
      </c>
      <c r="C161" s="2594" t="s">
        <v>1054</v>
      </c>
      <c r="D161" s="2698"/>
      <c r="E161" s="2699"/>
      <c r="F161" s="2613">
        <f t="shared" ref="F161:F178" si="31">E161*I$159</f>
        <v>0</v>
      </c>
      <c r="G161" s="2700"/>
      <c r="H161" s="2601"/>
      <c r="I161" s="2602">
        <f t="shared" ref="I161:I178" si="32">F161*G161</f>
        <v>0</v>
      </c>
      <c r="J161" s="1171">
        <v>8</v>
      </c>
      <c r="K161" s="1171">
        <v>16</v>
      </c>
      <c r="L161" s="1171">
        <v>24</v>
      </c>
      <c r="M161" s="1150">
        <f t="shared" ref="M161:M175" si="33">F161*J161/100</f>
        <v>0</v>
      </c>
      <c r="N161" s="1151">
        <f t="shared" ref="N161:N175" si="34">K161*F161/100</f>
        <v>0</v>
      </c>
      <c r="O161" s="1151">
        <f t="shared" ref="O161:O175" si="35">F161*L161/100</f>
        <v>0</v>
      </c>
      <c r="P161" s="1139"/>
    </row>
    <row r="162" spans="2:16" x14ac:dyDescent="0.2">
      <c r="B162" s="2583">
        <f>B161+1</f>
        <v>2</v>
      </c>
      <c r="C162" s="2586" t="s">
        <v>1055</v>
      </c>
      <c r="D162" s="2698"/>
      <c r="E162" s="2444"/>
      <c r="F162" s="2614">
        <f t="shared" si="31"/>
        <v>0</v>
      </c>
      <c r="G162" s="2443"/>
      <c r="H162" s="2601"/>
      <c r="I162" s="2602">
        <f t="shared" si="32"/>
        <v>0</v>
      </c>
      <c r="J162" s="1152">
        <v>45</v>
      </c>
      <c r="K162" s="1152">
        <v>0</v>
      </c>
      <c r="L162" s="1152">
        <v>0</v>
      </c>
      <c r="M162" s="1150">
        <f t="shared" si="33"/>
        <v>0</v>
      </c>
      <c r="N162" s="1151">
        <f t="shared" si="34"/>
        <v>0</v>
      </c>
      <c r="O162" s="1151">
        <f t="shared" si="35"/>
        <v>0</v>
      </c>
      <c r="P162" s="1139"/>
    </row>
    <row r="163" spans="2:16" x14ac:dyDescent="0.2">
      <c r="B163" s="2583">
        <f t="shared" ref="B163:B175" si="36">B162+1</f>
        <v>3</v>
      </c>
      <c r="C163" s="2586" t="s">
        <v>1056</v>
      </c>
      <c r="D163" s="2698"/>
      <c r="E163" s="2444"/>
      <c r="F163" s="2614">
        <f t="shared" si="31"/>
        <v>0</v>
      </c>
      <c r="G163" s="2443"/>
      <c r="H163" s="2601"/>
      <c r="I163" s="2602">
        <f t="shared" si="32"/>
        <v>0</v>
      </c>
      <c r="J163" s="1152"/>
      <c r="K163" s="1152"/>
      <c r="L163" s="1152"/>
      <c r="M163" s="1150">
        <f t="shared" si="33"/>
        <v>0</v>
      </c>
      <c r="N163" s="1151">
        <f t="shared" si="34"/>
        <v>0</v>
      </c>
      <c r="O163" s="1151">
        <f t="shared" si="35"/>
        <v>0</v>
      </c>
      <c r="P163" s="1139"/>
    </row>
    <row r="164" spans="2:16" x14ac:dyDescent="0.2">
      <c r="B164" s="2583">
        <f t="shared" si="36"/>
        <v>4</v>
      </c>
      <c r="C164" s="2595" t="s">
        <v>675</v>
      </c>
      <c r="D164" s="2698"/>
      <c r="E164" s="2444"/>
      <c r="F164" s="2614">
        <f t="shared" si="31"/>
        <v>0</v>
      </c>
      <c r="G164" s="2443"/>
      <c r="H164" s="2601"/>
      <c r="I164" s="2602">
        <f t="shared" si="32"/>
        <v>0</v>
      </c>
      <c r="J164" s="1152"/>
      <c r="K164" s="1152"/>
      <c r="L164" s="1152"/>
      <c r="M164" s="1150">
        <f t="shared" si="33"/>
        <v>0</v>
      </c>
      <c r="N164" s="1151">
        <f t="shared" si="34"/>
        <v>0</v>
      </c>
      <c r="O164" s="1151">
        <f t="shared" si="35"/>
        <v>0</v>
      </c>
      <c r="P164" s="1139"/>
    </row>
    <row r="165" spans="2:16" x14ac:dyDescent="0.2">
      <c r="B165" s="2583">
        <f t="shared" si="36"/>
        <v>5</v>
      </c>
      <c r="C165" s="2586" t="s">
        <v>1057</v>
      </c>
      <c r="D165" s="2698"/>
      <c r="E165" s="2444"/>
      <c r="F165" s="2614">
        <f t="shared" si="31"/>
        <v>0</v>
      </c>
      <c r="G165" s="2443"/>
      <c r="H165" s="2601"/>
      <c r="I165" s="2602">
        <f t="shared" si="32"/>
        <v>0</v>
      </c>
      <c r="J165" s="1152"/>
      <c r="K165" s="1152"/>
      <c r="L165" s="1152"/>
      <c r="M165" s="1150">
        <f t="shared" si="33"/>
        <v>0</v>
      </c>
      <c r="N165" s="1151">
        <f t="shared" si="34"/>
        <v>0</v>
      </c>
      <c r="O165" s="1151">
        <f t="shared" si="35"/>
        <v>0</v>
      </c>
      <c r="P165" s="1139"/>
    </row>
    <row r="166" spans="2:16" x14ac:dyDescent="0.2">
      <c r="B166" s="2583">
        <f t="shared" si="36"/>
        <v>6</v>
      </c>
      <c r="C166" s="2586" t="s">
        <v>1058</v>
      </c>
      <c r="D166" s="2444"/>
      <c r="E166" s="2444"/>
      <c r="F166" s="2614">
        <f t="shared" si="31"/>
        <v>0</v>
      </c>
      <c r="G166" s="2443"/>
      <c r="H166" s="2601"/>
      <c r="I166" s="2602">
        <f t="shared" si="32"/>
        <v>0</v>
      </c>
      <c r="J166" s="1152"/>
      <c r="K166" s="1152"/>
      <c r="L166" s="1152"/>
      <c r="M166" s="1150">
        <f t="shared" si="33"/>
        <v>0</v>
      </c>
      <c r="N166" s="1151">
        <f t="shared" si="34"/>
        <v>0</v>
      </c>
      <c r="O166" s="1151">
        <f t="shared" si="35"/>
        <v>0</v>
      </c>
      <c r="P166" s="1139"/>
    </row>
    <row r="167" spans="2:16" x14ac:dyDescent="0.2">
      <c r="B167" s="2583">
        <f t="shared" si="36"/>
        <v>7</v>
      </c>
      <c r="C167" s="2586" t="s">
        <v>1059</v>
      </c>
      <c r="D167" s="2444"/>
      <c r="E167" s="2444"/>
      <c r="F167" s="2614">
        <f t="shared" si="31"/>
        <v>0</v>
      </c>
      <c r="G167" s="2443"/>
      <c r="H167" s="2601"/>
      <c r="I167" s="2602">
        <f t="shared" si="32"/>
        <v>0</v>
      </c>
      <c r="J167" s="1152"/>
      <c r="K167" s="1152"/>
      <c r="L167" s="1152"/>
      <c r="M167" s="1150">
        <f t="shared" si="33"/>
        <v>0</v>
      </c>
      <c r="N167" s="1151">
        <f t="shared" si="34"/>
        <v>0</v>
      </c>
      <c r="O167" s="1151">
        <f t="shared" si="35"/>
        <v>0</v>
      </c>
      <c r="P167" s="1139"/>
    </row>
    <row r="168" spans="2:16" x14ac:dyDescent="0.2">
      <c r="B168" s="2583">
        <f t="shared" si="36"/>
        <v>8</v>
      </c>
      <c r="C168" s="2586" t="s">
        <v>1060</v>
      </c>
      <c r="D168" s="2444"/>
      <c r="E168" s="2444"/>
      <c r="F168" s="2614">
        <f t="shared" si="31"/>
        <v>0</v>
      </c>
      <c r="G168" s="2443"/>
      <c r="H168" s="2601"/>
      <c r="I168" s="2602">
        <f t="shared" si="32"/>
        <v>0</v>
      </c>
      <c r="J168" s="1152"/>
      <c r="K168" s="1152"/>
      <c r="L168" s="1152"/>
      <c r="M168" s="1150">
        <f t="shared" si="33"/>
        <v>0</v>
      </c>
      <c r="N168" s="1151">
        <f t="shared" si="34"/>
        <v>0</v>
      </c>
      <c r="O168" s="1151">
        <f t="shared" si="35"/>
        <v>0</v>
      </c>
      <c r="P168" s="1139"/>
    </row>
    <row r="169" spans="2:16" x14ac:dyDescent="0.2">
      <c r="B169" s="2583">
        <f t="shared" si="36"/>
        <v>9</v>
      </c>
      <c r="C169" s="2586" t="s">
        <v>1061</v>
      </c>
      <c r="D169" s="2444"/>
      <c r="E169" s="2444"/>
      <c r="F169" s="2614">
        <f t="shared" si="31"/>
        <v>0</v>
      </c>
      <c r="G169" s="2443"/>
      <c r="H169" s="2601"/>
      <c r="I169" s="2602">
        <f t="shared" si="32"/>
        <v>0</v>
      </c>
      <c r="J169" s="1152"/>
      <c r="K169" s="1152"/>
      <c r="L169" s="1152"/>
      <c r="M169" s="1150">
        <f t="shared" si="33"/>
        <v>0</v>
      </c>
      <c r="N169" s="1151">
        <f t="shared" si="34"/>
        <v>0</v>
      </c>
      <c r="O169" s="1151">
        <f t="shared" si="35"/>
        <v>0</v>
      </c>
      <c r="P169" s="1139"/>
    </row>
    <row r="170" spans="2:16" x14ac:dyDescent="0.2">
      <c r="B170" s="2583">
        <f t="shared" si="36"/>
        <v>10</v>
      </c>
      <c r="C170" s="2586" t="s">
        <v>1062</v>
      </c>
      <c r="D170" s="2444"/>
      <c r="E170" s="2444"/>
      <c r="F170" s="2614">
        <f t="shared" si="31"/>
        <v>0</v>
      </c>
      <c r="G170" s="2443"/>
      <c r="H170" s="2601"/>
      <c r="I170" s="2602">
        <f t="shared" si="32"/>
        <v>0</v>
      </c>
      <c r="J170" s="1152"/>
      <c r="K170" s="1152"/>
      <c r="L170" s="1152"/>
      <c r="M170" s="1150">
        <f t="shared" si="33"/>
        <v>0</v>
      </c>
      <c r="N170" s="1151">
        <f t="shared" si="34"/>
        <v>0</v>
      </c>
      <c r="O170" s="1151">
        <f t="shared" si="35"/>
        <v>0</v>
      </c>
      <c r="P170" s="1139"/>
    </row>
    <row r="171" spans="2:16" x14ac:dyDescent="0.2">
      <c r="B171" s="2583">
        <f t="shared" si="36"/>
        <v>11</v>
      </c>
      <c r="C171" s="2586" t="s">
        <v>1063</v>
      </c>
      <c r="D171" s="2444"/>
      <c r="E171" s="2444"/>
      <c r="F171" s="2614">
        <f t="shared" si="31"/>
        <v>0</v>
      </c>
      <c r="G171" s="2443"/>
      <c r="H171" s="2601"/>
      <c r="I171" s="2602">
        <f t="shared" si="32"/>
        <v>0</v>
      </c>
      <c r="J171" s="1152"/>
      <c r="K171" s="1152"/>
      <c r="L171" s="1152"/>
      <c r="M171" s="1150">
        <f t="shared" si="33"/>
        <v>0</v>
      </c>
      <c r="N171" s="1151">
        <f t="shared" si="34"/>
        <v>0</v>
      </c>
      <c r="O171" s="1151">
        <f t="shared" si="35"/>
        <v>0</v>
      </c>
      <c r="P171" s="1139"/>
    </row>
    <row r="172" spans="2:16" x14ac:dyDescent="0.2">
      <c r="B172" s="2583">
        <f t="shared" si="36"/>
        <v>12</v>
      </c>
      <c r="C172" s="2586" t="s">
        <v>1064</v>
      </c>
      <c r="D172" s="2444"/>
      <c r="E172" s="2444"/>
      <c r="F172" s="2614">
        <f t="shared" si="31"/>
        <v>0</v>
      </c>
      <c r="G172" s="2443"/>
      <c r="H172" s="2601"/>
      <c r="I172" s="2602">
        <f t="shared" si="32"/>
        <v>0</v>
      </c>
      <c r="J172" s="1152"/>
      <c r="K172" s="1152"/>
      <c r="L172" s="1152"/>
      <c r="M172" s="1150">
        <f t="shared" si="33"/>
        <v>0</v>
      </c>
      <c r="N172" s="1151">
        <f t="shared" si="34"/>
        <v>0</v>
      </c>
      <c r="O172" s="1151">
        <f t="shared" si="35"/>
        <v>0</v>
      </c>
      <c r="P172" s="1139"/>
    </row>
    <row r="173" spans="2:16" x14ac:dyDescent="0.2">
      <c r="B173" s="2583">
        <f t="shared" si="36"/>
        <v>13</v>
      </c>
      <c r="C173" s="2586" t="s">
        <v>1065</v>
      </c>
      <c r="D173" s="2444"/>
      <c r="E173" s="2444"/>
      <c r="F173" s="2614">
        <f t="shared" si="31"/>
        <v>0</v>
      </c>
      <c r="G173" s="2443"/>
      <c r="H173" s="2601"/>
      <c r="I173" s="2602">
        <f t="shared" si="32"/>
        <v>0</v>
      </c>
      <c r="J173" s="1152"/>
      <c r="K173" s="1152"/>
      <c r="L173" s="1152"/>
      <c r="M173" s="1150">
        <f t="shared" si="33"/>
        <v>0</v>
      </c>
      <c r="N173" s="1151">
        <f t="shared" si="34"/>
        <v>0</v>
      </c>
      <c r="O173" s="1151">
        <f t="shared" si="35"/>
        <v>0</v>
      </c>
      <c r="P173" s="1139"/>
    </row>
    <row r="174" spans="2:16" ht="13.5" thickBot="1" x14ac:dyDescent="0.25">
      <c r="B174" s="2583">
        <f t="shared" si="36"/>
        <v>14</v>
      </c>
      <c r="C174" s="2586" t="s">
        <v>916</v>
      </c>
      <c r="D174" s="2615"/>
      <c r="E174" s="2615"/>
      <c r="F174" s="2616">
        <f t="shared" si="31"/>
        <v>0</v>
      </c>
      <c r="G174" s="2617"/>
      <c r="H174" s="2603"/>
      <c r="I174" s="2604">
        <f t="shared" si="32"/>
        <v>0</v>
      </c>
      <c r="J174" s="1152"/>
      <c r="K174" s="1152"/>
      <c r="L174" s="1152"/>
      <c r="M174" s="1150">
        <f t="shared" si="33"/>
        <v>0</v>
      </c>
      <c r="N174" s="1151">
        <f t="shared" si="34"/>
        <v>0</v>
      </c>
      <c r="O174" s="1151">
        <f t="shared" si="35"/>
        <v>0</v>
      </c>
      <c r="P174" s="1139"/>
    </row>
    <row r="175" spans="2:16" ht="13.5" thickBot="1" x14ac:dyDescent="0.25">
      <c r="B175" s="2583">
        <f t="shared" si="36"/>
        <v>15</v>
      </c>
      <c r="C175" s="1892" t="s">
        <v>890</v>
      </c>
      <c r="D175" s="2631" t="s">
        <v>619</v>
      </c>
      <c r="E175" s="2631">
        <v>1</v>
      </c>
      <c r="F175" s="2618">
        <f t="shared" si="31"/>
        <v>0</v>
      </c>
      <c r="G175" s="2619">
        <f>F16</f>
        <v>0</v>
      </c>
      <c r="H175" s="2620"/>
      <c r="I175" s="2621">
        <f t="shared" si="32"/>
        <v>0</v>
      </c>
      <c r="J175" s="1174"/>
      <c r="K175" s="1153"/>
      <c r="L175" s="1153"/>
      <c r="M175" s="1154">
        <f t="shared" si="33"/>
        <v>0</v>
      </c>
      <c r="N175" s="1155">
        <f t="shared" si="34"/>
        <v>0</v>
      </c>
      <c r="O175" s="1155">
        <f t="shared" si="35"/>
        <v>0</v>
      </c>
      <c r="P175" s="1139"/>
    </row>
    <row r="176" spans="2:16" x14ac:dyDescent="0.2">
      <c r="B176" s="2583">
        <f>B175+1</f>
        <v>16</v>
      </c>
      <c r="C176" s="2659"/>
      <c r="D176" s="2622"/>
      <c r="E176" s="2622"/>
      <c r="F176" s="2623">
        <f t="shared" si="31"/>
        <v>0</v>
      </c>
      <c r="G176" s="2624"/>
      <c r="H176" s="2605"/>
      <c r="I176" s="2606">
        <f t="shared" si="32"/>
        <v>0</v>
      </c>
      <c r="J176" s="1704"/>
      <c r="K176" s="1153"/>
      <c r="L176" s="1153"/>
      <c r="M176" s="1154"/>
      <c r="N176" s="1155"/>
      <c r="O176" s="1155"/>
      <c r="P176" s="1139"/>
    </row>
    <row r="177" spans="2:16" x14ac:dyDescent="0.2">
      <c r="B177" s="2583">
        <f>B176+1</f>
        <v>17</v>
      </c>
      <c r="C177" s="29"/>
      <c r="D177" s="2444"/>
      <c r="E177" s="2444"/>
      <c r="F177" s="2614">
        <f t="shared" si="31"/>
        <v>0</v>
      </c>
      <c r="G177" s="2443"/>
      <c r="H177" s="2601"/>
      <c r="I177" s="2602">
        <f t="shared" si="32"/>
        <v>0</v>
      </c>
      <c r="J177" s="1704"/>
      <c r="K177" s="1153"/>
      <c r="L177" s="1153"/>
      <c r="M177" s="1154"/>
      <c r="N177" s="1155"/>
      <c r="O177" s="1155"/>
      <c r="P177" s="1139"/>
    </row>
    <row r="178" spans="2:16" ht="13.5" thickBot="1" x14ac:dyDescent="0.25">
      <c r="B178" s="2583">
        <f>B177+1</f>
        <v>18</v>
      </c>
      <c r="C178" s="29"/>
      <c r="D178" s="2447"/>
      <c r="E178" s="2447"/>
      <c r="F178" s="2625">
        <f t="shared" si="31"/>
        <v>0</v>
      </c>
      <c r="G178" s="2626"/>
      <c r="H178" s="2607"/>
      <c r="I178" s="2608">
        <f t="shared" si="32"/>
        <v>0</v>
      </c>
      <c r="J178" s="1704"/>
      <c r="K178" s="1153"/>
      <c r="L178" s="1153"/>
      <c r="M178" s="1154"/>
      <c r="N178" s="1155"/>
      <c r="O178" s="1155"/>
      <c r="P178" s="1139"/>
    </row>
    <row r="179" spans="2:16" ht="19.5" customHeight="1" thickBot="1" x14ac:dyDescent="0.25">
      <c r="B179" s="2584"/>
      <c r="C179" s="1156"/>
      <c r="D179" s="345"/>
      <c r="E179" s="345"/>
      <c r="F179" s="2645"/>
      <c r="G179" s="2643" t="s">
        <v>434</v>
      </c>
      <c r="H179" s="2632"/>
      <c r="I179" s="2639">
        <f>SUM(SUMIF(I161:I178,"&gt;0",I161:I178))</f>
        <v>0</v>
      </c>
      <c r="J179" s="1157"/>
      <c r="K179" s="1158" t="s">
        <v>125</v>
      </c>
      <c r="L179" s="1158"/>
      <c r="M179" s="1159">
        <f>SUM(M161:M175)</f>
        <v>0</v>
      </c>
      <c r="N179" s="1159">
        <f>SUM(N161:N175)</f>
        <v>0</v>
      </c>
      <c r="O179" s="1160">
        <f>SUM(O161:O175)</f>
        <v>0</v>
      </c>
      <c r="P179" s="1139"/>
    </row>
    <row r="180" spans="2:16" ht="19.5" customHeight="1" thickBot="1" x14ac:dyDescent="0.25">
      <c r="B180" s="2584"/>
      <c r="C180" s="1156"/>
      <c r="D180" s="345"/>
      <c r="E180" s="345"/>
      <c r="F180" s="2645"/>
      <c r="G180" s="2644" t="s">
        <v>131</v>
      </c>
      <c r="H180" s="2633"/>
      <c r="I180" s="2638">
        <f>IF(I159=0,0,I179/I159)</f>
        <v>0</v>
      </c>
      <c r="J180" s="1163"/>
      <c r="K180" s="1164" t="s">
        <v>127</v>
      </c>
      <c r="L180" s="1164"/>
      <c r="M180" s="1165" t="e">
        <f>M179/$I$159</f>
        <v>#DIV/0!</v>
      </c>
      <c r="N180" s="1165" t="e">
        <f>N179/$I$159</f>
        <v>#DIV/0!</v>
      </c>
      <c r="O180" s="1166" t="e">
        <f>O179/$I$159</f>
        <v>#DIV/0!</v>
      </c>
      <c r="P180" s="1139"/>
    </row>
    <row r="181" spans="2:16" ht="25.5" customHeight="1" thickBot="1" x14ac:dyDescent="0.25">
      <c r="B181" s="2584"/>
      <c r="C181" s="2649" t="str">
        <f>IF(I182=0,"NÃO preencher o proximo quadro","OBRIGADO PREENCHER PROXIMO QUADRO")</f>
        <v>NÃO preencher o proximo quadro</v>
      </c>
      <c r="D181" s="345"/>
      <c r="E181" s="345"/>
      <c r="F181" s="345"/>
      <c r="G181" s="1177"/>
      <c r="H181" s="2634"/>
      <c r="I181" s="2658"/>
      <c r="J181" s="345"/>
      <c r="K181" s="345"/>
      <c r="L181" s="345"/>
      <c r="M181" s="345"/>
      <c r="N181" s="345"/>
      <c r="O181" s="345"/>
      <c r="P181" s="1139"/>
    </row>
    <row r="182" spans="2:16" ht="24.75" customHeight="1" thickBot="1" x14ac:dyDescent="0.25">
      <c r="B182" s="2584"/>
      <c r="C182" s="2627" t="s">
        <v>113</v>
      </c>
      <c r="D182" s="2597">
        <f>SOLO!G19</f>
        <v>0</v>
      </c>
      <c r="E182" s="2629"/>
      <c r="F182" s="2628"/>
      <c r="G182" s="2630" t="s">
        <v>114</v>
      </c>
      <c r="H182" s="2599"/>
      <c r="I182" s="2598">
        <f>SOLO!I19+SOLO!J19</f>
        <v>0</v>
      </c>
      <c r="J182" s="2915" t="s">
        <v>115</v>
      </c>
      <c r="K182" s="2916"/>
      <c r="L182" s="2917"/>
      <c r="M182" s="1167"/>
      <c r="N182" s="1167"/>
      <c r="O182" s="1168"/>
      <c r="P182" s="1139"/>
    </row>
    <row r="183" spans="2:16" ht="39" thickBot="1" x14ac:dyDescent="0.25">
      <c r="B183" s="2584"/>
      <c r="C183" s="2587" t="s">
        <v>116</v>
      </c>
      <c r="D183" s="2588" t="s">
        <v>772</v>
      </c>
      <c r="E183" s="2588" t="s">
        <v>770</v>
      </c>
      <c r="F183" s="2589" t="s">
        <v>432</v>
      </c>
      <c r="G183" s="2588" t="s">
        <v>771</v>
      </c>
      <c r="H183" s="2959" t="s">
        <v>118</v>
      </c>
      <c r="I183" s="2960"/>
      <c r="J183" s="1169" t="s">
        <v>119</v>
      </c>
      <c r="K183" s="1169" t="s">
        <v>120</v>
      </c>
      <c r="L183" s="1169" t="s">
        <v>121</v>
      </c>
      <c r="M183" s="1169" t="s">
        <v>122</v>
      </c>
      <c r="N183" s="1169" t="s">
        <v>128</v>
      </c>
      <c r="O183" s="1170" t="s">
        <v>129</v>
      </c>
      <c r="P183" s="1139"/>
    </row>
    <row r="184" spans="2:16" x14ac:dyDescent="0.2">
      <c r="B184" s="2582">
        <v>1</v>
      </c>
      <c r="C184" s="2594" t="s">
        <v>1054</v>
      </c>
      <c r="D184" s="2698"/>
      <c r="E184" s="2699"/>
      <c r="F184" s="2613">
        <f t="shared" ref="F184:F201" si="37">E184*I$182</f>
        <v>0</v>
      </c>
      <c r="G184" s="2700"/>
      <c r="H184" s="2601"/>
      <c r="I184" s="2602">
        <f t="shared" ref="I184:I201" si="38">F184*G184</f>
        <v>0</v>
      </c>
      <c r="J184" s="1171"/>
      <c r="K184" s="1171"/>
      <c r="L184" s="1171"/>
      <c r="M184" s="1150">
        <f t="shared" ref="M184:M198" si="39">F184*J184/100</f>
        <v>0</v>
      </c>
      <c r="N184" s="1151">
        <f t="shared" ref="N184:N198" si="40">K184*F184/100</f>
        <v>0</v>
      </c>
      <c r="O184" s="1151">
        <f t="shared" ref="O184:O198" si="41">F184*L184/100</f>
        <v>0</v>
      </c>
      <c r="P184" s="1139"/>
    </row>
    <row r="185" spans="2:16" x14ac:dyDescent="0.2">
      <c r="B185" s="2583">
        <f>B184+1</f>
        <v>2</v>
      </c>
      <c r="C185" s="2586" t="s">
        <v>1055</v>
      </c>
      <c r="D185" s="2698"/>
      <c r="E185" s="2444"/>
      <c r="F185" s="2614">
        <f t="shared" si="37"/>
        <v>0</v>
      </c>
      <c r="G185" s="2443"/>
      <c r="H185" s="2601"/>
      <c r="I185" s="2602">
        <f t="shared" si="38"/>
        <v>0</v>
      </c>
      <c r="J185" s="1152"/>
      <c r="K185" s="1152"/>
      <c r="L185" s="1152"/>
      <c r="M185" s="1150">
        <f t="shared" si="39"/>
        <v>0</v>
      </c>
      <c r="N185" s="1151">
        <f t="shared" si="40"/>
        <v>0</v>
      </c>
      <c r="O185" s="1151">
        <f t="shared" si="41"/>
        <v>0</v>
      </c>
      <c r="P185" s="1139"/>
    </row>
    <row r="186" spans="2:16" x14ac:dyDescent="0.2">
      <c r="B186" s="2583">
        <f t="shared" ref="B186:B198" si="42">B185+1</f>
        <v>3</v>
      </c>
      <c r="C186" s="2586" t="s">
        <v>1056</v>
      </c>
      <c r="D186" s="2698"/>
      <c r="E186" s="2444"/>
      <c r="F186" s="2614">
        <f t="shared" si="37"/>
        <v>0</v>
      </c>
      <c r="G186" s="2443"/>
      <c r="H186" s="2601"/>
      <c r="I186" s="2602">
        <f t="shared" si="38"/>
        <v>0</v>
      </c>
      <c r="J186" s="1152"/>
      <c r="K186" s="1152"/>
      <c r="L186" s="1152"/>
      <c r="M186" s="1150">
        <f t="shared" si="39"/>
        <v>0</v>
      </c>
      <c r="N186" s="1151">
        <f t="shared" si="40"/>
        <v>0</v>
      </c>
      <c r="O186" s="1151">
        <f t="shared" si="41"/>
        <v>0</v>
      </c>
      <c r="P186" s="1139"/>
    </row>
    <row r="187" spans="2:16" x14ac:dyDescent="0.2">
      <c r="B187" s="2583">
        <f t="shared" si="42"/>
        <v>4</v>
      </c>
      <c r="C187" s="2595" t="s">
        <v>675</v>
      </c>
      <c r="D187" s="2698"/>
      <c r="E187" s="2444"/>
      <c r="F187" s="2614">
        <f t="shared" si="37"/>
        <v>0</v>
      </c>
      <c r="G187" s="2443"/>
      <c r="H187" s="2601"/>
      <c r="I187" s="2602">
        <f t="shared" si="38"/>
        <v>0</v>
      </c>
      <c r="J187" s="1152"/>
      <c r="K187" s="1152"/>
      <c r="L187" s="1152"/>
      <c r="M187" s="1150">
        <f t="shared" si="39"/>
        <v>0</v>
      </c>
      <c r="N187" s="1151">
        <f t="shared" si="40"/>
        <v>0</v>
      </c>
      <c r="O187" s="1151">
        <f t="shared" si="41"/>
        <v>0</v>
      </c>
      <c r="P187" s="1139"/>
    </row>
    <row r="188" spans="2:16" x14ac:dyDescent="0.2">
      <c r="B188" s="2583">
        <f t="shared" si="42"/>
        <v>5</v>
      </c>
      <c r="C188" s="2586" t="s">
        <v>1057</v>
      </c>
      <c r="D188" s="2698"/>
      <c r="E188" s="2444"/>
      <c r="F188" s="2614">
        <f t="shared" si="37"/>
        <v>0</v>
      </c>
      <c r="G188" s="2443"/>
      <c r="H188" s="2601"/>
      <c r="I188" s="2602">
        <f t="shared" si="38"/>
        <v>0</v>
      </c>
      <c r="J188" s="1152"/>
      <c r="K188" s="1152"/>
      <c r="L188" s="1152"/>
      <c r="M188" s="1150">
        <f t="shared" si="39"/>
        <v>0</v>
      </c>
      <c r="N188" s="1151">
        <f t="shared" si="40"/>
        <v>0</v>
      </c>
      <c r="O188" s="1151">
        <f t="shared" si="41"/>
        <v>0</v>
      </c>
      <c r="P188" s="1139"/>
    </row>
    <row r="189" spans="2:16" x14ac:dyDescent="0.2">
      <c r="B189" s="2583">
        <f t="shared" si="42"/>
        <v>6</v>
      </c>
      <c r="C189" s="2586" t="s">
        <v>1058</v>
      </c>
      <c r="D189" s="2444"/>
      <c r="E189" s="2444"/>
      <c r="F189" s="2614">
        <f t="shared" si="37"/>
        <v>0</v>
      </c>
      <c r="G189" s="2443"/>
      <c r="H189" s="2601"/>
      <c r="I189" s="2602">
        <f t="shared" si="38"/>
        <v>0</v>
      </c>
      <c r="J189" s="1152"/>
      <c r="K189" s="1152"/>
      <c r="L189" s="1152"/>
      <c r="M189" s="1150">
        <f t="shared" si="39"/>
        <v>0</v>
      </c>
      <c r="N189" s="1151">
        <f t="shared" si="40"/>
        <v>0</v>
      </c>
      <c r="O189" s="1151">
        <f t="shared" si="41"/>
        <v>0</v>
      </c>
      <c r="P189" s="1139"/>
    </row>
    <row r="190" spans="2:16" x14ac:dyDescent="0.2">
      <c r="B190" s="2583">
        <f t="shared" si="42"/>
        <v>7</v>
      </c>
      <c r="C190" s="2586" t="s">
        <v>1059</v>
      </c>
      <c r="D190" s="2444"/>
      <c r="E190" s="2444"/>
      <c r="F190" s="2614">
        <f t="shared" si="37"/>
        <v>0</v>
      </c>
      <c r="G190" s="2443"/>
      <c r="H190" s="2601"/>
      <c r="I190" s="2602">
        <f t="shared" si="38"/>
        <v>0</v>
      </c>
      <c r="J190" s="1152"/>
      <c r="K190" s="1152"/>
      <c r="L190" s="1152"/>
      <c r="M190" s="1150">
        <f t="shared" si="39"/>
        <v>0</v>
      </c>
      <c r="N190" s="1151">
        <f t="shared" si="40"/>
        <v>0</v>
      </c>
      <c r="O190" s="1151">
        <f t="shared" si="41"/>
        <v>0</v>
      </c>
      <c r="P190" s="1139"/>
    </row>
    <row r="191" spans="2:16" x14ac:dyDescent="0.2">
      <c r="B191" s="2583">
        <f t="shared" si="42"/>
        <v>8</v>
      </c>
      <c r="C191" s="2586" t="s">
        <v>1060</v>
      </c>
      <c r="D191" s="2444"/>
      <c r="E191" s="2444"/>
      <c r="F191" s="2614">
        <f t="shared" si="37"/>
        <v>0</v>
      </c>
      <c r="G191" s="2443"/>
      <c r="H191" s="2601"/>
      <c r="I191" s="2602">
        <f t="shared" si="38"/>
        <v>0</v>
      </c>
      <c r="J191" s="1152"/>
      <c r="K191" s="1152"/>
      <c r="L191" s="1152"/>
      <c r="M191" s="1150">
        <f t="shared" si="39"/>
        <v>0</v>
      </c>
      <c r="N191" s="1151">
        <f t="shared" si="40"/>
        <v>0</v>
      </c>
      <c r="O191" s="1151">
        <f t="shared" si="41"/>
        <v>0</v>
      </c>
      <c r="P191" s="1139"/>
    </row>
    <row r="192" spans="2:16" x14ac:dyDescent="0.2">
      <c r="B192" s="2583">
        <f t="shared" si="42"/>
        <v>9</v>
      </c>
      <c r="C192" s="2586" t="s">
        <v>1061</v>
      </c>
      <c r="D192" s="2444"/>
      <c r="E192" s="2444"/>
      <c r="F192" s="2614">
        <f t="shared" si="37"/>
        <v>0</v>
      </c>
      <c r="G192" s="2443"/>
      <c r="H192" s="2601"/>
      <c r="I192" s="2602">
        <f t="shared" si="38"/>
        <v>0</v>
      </c>
      <c r="J192" s="1152"/>
      <c r="K192" s="1152"/>
      <c r="L192" s="1152"/>
      <c r="M192" s="1150">
        <f t="shared" si="39"/>
        <v>0</v>
      </c>
      <c r="N192" s="1151">
        <f t="shared" si="40"/>
        <v>0</v>
      </c>
      <c r="O192" s="1151">
        <f t="shared" si="41"/>
        <v>0</v>
      </c>
      <c r="P192" s="1139"/>
    </row>
    <row r="193" spans="2:22" x14ac:dyDescent="0.2">
      <c r="B193" s="2583">
        <f t="shared" si="42"/>
        <v>10</v>
      </c>
      <c r="C193" s="2586" t="s">
        <v>1062</v>
      </c>
      <c r="D193" s="2444"/>
      <c r="E193" s="2444"/>
      <c r="F193" s="2614">
        <f t="shared" si="37"/>
        <v>0</v>
      </c>
      <c r="G193" s="2443"/>
      <c r="H193" s="2601"/>
      <c r="I193" s="2602">
        <f t="shared" si="38"/>
        <v>0</v>
      </c>
      <c r="J193" s="1152"/>
      <c r="K193" s="1152"/>
      <c r="L193" s="1152"/>
      <c r="M193" s="1150">
        <f t="shared" si="39"/>
        <v>0</v>
      </c>
      <c r="N193" s="1151">
        <f t="shared" si="40"/>
        <v>0</v>
      </c>
      <c r="O193" s="1151">
        <f t="shared" si="41"/>
        <v>0</v>
      </c>
      <c r="P193" s="1139"/>
    </row>
    <row r="194" spans="2:22" x14ac:dyDescent="0.2">
      <c r="B194" s="2583">
        <f t="shared" si="42"/>
        <v>11</v>
      </c>
      <c r="C194" s="2586" t="s">
        <v>1063</v>
      </c>
      <c r="D194" s="2444"/>
      <c r="E194" s="2444"/>
      <c r="F194" s="2614">
        <f t="shared" si="37"/>
        <v>0</v>
      </c>
      <c r="G194" s="2443"/>
      <c r="H194" s="2601"/>
      <c r="I194" s="2602">
        <f t="shared" si="38"/>
        <v>0</v>
      </c>
      <c r="J194" s="1152"/>
      <c r="K194" s="1152"/>
      <c r="L194" s="1152"/>
      <c r="M194" s="1150">
        <f t="shared" si="39"/>
        <v>0</v>
      </c>
      <c r="N194" s="1151">
        <f t="shared" si="40"/>
        <v>0</v>
      </c>
      <c r="O194" s="1151">
        <f t="shared" si="41"/>
        <v>0</v>
      </c>
      <c r="P194" s="1139"/>
    </row>
    <row r="195" spans="2:22" x14ac:dyDescent="0.2">
      <c r="B195" s="2583">
        <f t="shared" si="42"/>
        <v>12</v>
      </c>
      <c r="C195" s="2586" t="s">
        <v>1064</v>
      </c>
      <c r="D195" s="2444"/>
      <c r="E195" s="2444"/>
      <c r="F195" s="2614">
        <f t="shared" si="37"/>
        <v>0</v>
      </c>
      <c r="G195" s="2443"/>
      <c r="H195" s="2601"/>
      <c r="I195" s="2602">
        <f t="shared" si="38"/>
        <v>0</v>
      </c>
      <c r="J195" s="1152"/>
      <c r="K195" s="1152"/>
      <c r="L195" s="1152"/>
      <c r="M195" s="1150">
        <f t="shared" si="39"/>
        <v>0</v>
      </c>
      <c r="N195" s="1151">
        <f t="shared" si="40"/>
        <v>0</v>
      </c>
      <c r="O195" s="1151">
        <f t="shared" si="41"/>
        <v>0</v>
      </c>
      <c r="P195" s="1139"/>
    </row>
    <row r="196" spans="2:22" x14ac:dyDescent="0.2">
      <c r="B196" s="2583">
        <f t="shared" si="42"/>
        <v>13</v>
      </c>
      <c r="C196" s="2586" t="s">
        <v>1065</v>
      </c>
      <c r="D196" s="2444"/>
      <c r="E196" s="2444"/>
      <c r="F196" s="2614">
        <f t="shared" si="37"/>
        <v>0</v>
      </c>
      <c r="G196" s="2443"/>
      <c r="H196" s="2601"/>
      <c r="I196" s="2602">
        <f t="shared" si="38"/>
        <v>0</v>
      </c>
      <c r="J196" s="1152"/>
      <c r="K196" s="1152"/>
      <c r="L196" s="1152"/>
      <c r="M196" s="1150">
        <f t="shared" si="39"/>
        <v>0</v>
      </c>
      <c r="N196" s="1151">
        <f t="shared" si="40"/>
        <v>0</v>
      </c>
      <c r="O196" s="1151">
        <f t="shared" si="41"/>
        <v>0</v>
      </c>
      <c r="P196" s="1139"/>
    </row>
    <row r="197" spans="2:22" ht="13.5" thickBot="1" x14ac:dyDescent="0.25">
      <c r="B197" s="2583">
        <f t="shared" si="42"/>
        <v>14</v>
      </c>
      <c r="C197" s="2586" t="s">
        <v>916</v>
      </c>
      <c r="D197" s="2615"/>
      <c r="E197" s="2615"/>
      <c r="F197" s="2616">
        <f t="shared" si="37"/>
        <v>0</v>
      </c>
      <c r="G197" s="2617"/>
      <c r="H197" s="2603"/>
      <c r="I197" s="2604">
        <f t="shared" si="38"/>
        <v>0</v>
      </c>
      <c r="J197" s="1152"/>
      <c r="K197" s="1152"/>
      <c r="L197" s="1152"/>
      <c r="M197" s="1150">
        <f t="shared" si="39"/>
        <v>0</v>
      </c>
      <c r="N197" s="1151">
        <f t="shared" si="40"/>
        <v>0</v>
      </c>
      <c r="O197" s="1151">
        <f t="shared" si="41"/>
        <v>0</v>
      </c>
      <c r="P197" s="1139"/>
    </row>
    <row r="198" spans="2:22" ht="13.5" thickBot="1" x14ac:dyDescent="0.25">
      <c r="B198" s="2583">
        <f t="shared" si="42"/>
        <v>15</v>
      </c>
      <c r="C198" s="1892" t="s">
        <v>890</v>
      </c>
      <c r="D198" s="2631" t="s">
        <v>619</v>
      </c>
      <c r="E198" s="2631">
        <v>1</v>
      </c>
      <c r="F198" s="2618">
        <f>E198*I$182</f>
        <v>0</v>
      </c>
      <c r="G198" s="2619">
        <f>F17</f>
        <v>0</v>
      </c>
      <c r="H198" s="2620"/>
      <c r="I198" s="2621">
        <f>F198*G198</f>
        <v>0</v>
      </c>
      <c r="J198" s="1174"/>
      <c r="K198" s="1153"/>
      <c r="L198" s="1153"/>
      <c r="M198" s="1154">
        <f t="shared" si="39"/>
        <v>0</v>
      </c>
      <c r="N198" s="1155">
        <f t="shared" si="40"/>
        <v>0</v>
      </c>
      <c r="O198" s="1155">
        <f t="shared" si="41"/>
        <v>0</v>
      </c>
      <c r="P198" s="1139"/>
    </row>
    <row r="199" spans="2:22" x14ac:dyDescent="0.2">
      <c r="B199" s="2583">
        <f>B198+1</f>
        <v>16</v>
      </c>
      <c r="C199" s="2659"/>
      <c r="D199" s="2622"/>
      <c r="E199" s="2622"/>
      <c r="F199" s="2623">
        <f t="shared" si="37"/>
        <v>0</v>
      </c>
      <c r="G199" s="2624"/>
      <c r="H199" s="2605"/>
      <c r="I199" s="2606">
        <f t="shared" si="38"/>
        <v>0</v>
      </c>
      <c r="J199" s="1704"/>
      <c r="K199" s="1153"/>
      <c r="L199" s="1153"/>
      <c r="M199" s="1154"/>
      <c r="N199" s="1155"/>
      <c r="O199" s="1155"/>
      <c r="P199" s="1139"/>
    </row>
    <row r="200" spans="2:22" x14ac:dyDescent="0.2">
      <c r="B200" s="2583">
        <f>B199+1</f>
        <v>17</v>
      </c>
      <c r="C200" s="29"/>
      <c r="D200" s="2444"/>
      <c r="E200" s="2444"/>
      <c r="F200" s="2614">
        <f t="shared" si="37"/>
        <v>0</v>
      </c>
      <c r="G200" s="2443"/>
      <c r="H200" s="2601"/>
      <c r="I200" s="2602">
        <f t="shared" si="38"/>
        <v>0</v>
      </c>
      <c r="J200" s="1704"/>
      <c r="K200" s="1153"/>
      <c r="L200" s="1153"/>
      <c r="M200" s="1154"/>
      <c r="N200" s="1155"/>
      <c r="O200" s="1155"/>
      <c r="P200" s="1139"/>
    </row>
    <row r="201" spans="2:22" ht="13.5" thickBot="1" x14ac:dyDescent="0.25">
      <c r="B201" s="2583">
        <f>B200+1</f>
        <v>18</v>
      </c>
      <c r="C201" s="29"/>
      <c r="D201" s="2447"/>
      <c r="E201" s="2447"/>
      <c r="F201" s="2625">
        <f t="shared" si="37"/>
        <v>0</v>
      </c>
      <c r="G201" s="2626"/>
      <c r="H201" s="2607"/>
      <c r="I201" s="2608">
        <f t="shared" si="38"/>
        <v>0</v>
      </c>
      <c r="J201" s="1704"/>
      <c r="K201" s="1153"/>
      <c r="L201" s="1153"/>
      <c r="M201" s="1154"/>
      <c r="N201" s="1155"/>
      <c r="O201" s="1155"/>
      <c r="P201" s="1139"/>
    </row>
    <row r="202" spans="2:22" ht="19.5" customHeight="1" thickBot="1" x14ac:dyDescent="0.25">
      <c r="B202" s="2584"/>
      <c r="C202" s="1156"/>
      <c r="D202" s="345"/>
      <c r="E202" s="345"/>
      <c r="F202" s="2645"/>
      <c r="G202" s="2643" t="s">
        <v>434</v>
      </c>
      <c r="H202" s="2632"/>
      <c r="I202" s="2639">
        <f>SUM(SUMIF(I184:I201,"&gt;0",I184:I201))</f>
        <v>0</v>
      </c>
      <c r="J202" s="1157"/>
      <c r="K202" s="1158" t="s">
        <v>125</v>
      </c>
      <c r="L202" s="1158"/>
      <c r="M202" s="1159">
        <f>SUM(M184:M198)</f>
        <v>0</v>
      </c>
      <c r="N202" s="1159">
        <f>SUM(N184:N198)</f>
        <v>0</v>
      </c>
      <c r="O202" s="1160">
        <f>SUM(O184:O198)</f>
        <v>0</v>
      </c>
      <c r="P202" s="1139"/>
    </row>
    <row r="203" spans="2:22" ht="19.5" customHeight="1" thickBot="1" x14ac:dyDescent="0.25">
      <c r="B203" s="2584"/>
      <c r="C203" s="1156"/>
      <c r="D203" s="345"/>
      <c r="E203" s="345"/>
      <c r="F203" s="2645"/>
      <c r="G203" s="2644" t="s">
        <v>131</v>
      </c>
      <c r="H203" s="2633"/>
      <c r="I203" s="2638">
        <f>IF(I182=0,0,I202/I182)</f>
        <v>0</v>
      </c>
      <c r="J203" s="1163"/>
      <c r="K203" s="1164" t="s">
        <v>127</v>
      </c>
      <c r="L203" s="1164"/>
      <c r="M203" s="1165" t="e">
        <f>M202/$I$182</f>
        <v>#DIV/0!</v>
      </c>
      <c r="N203" s="1165" t="e">
        <f>N202/$I$182</f>
        <v>#DIV/0!</v>
      </c>
      <c r="O203" s="1166" t="e">
        <f>O202/$I$182</f>
        <v>#DIV/0!</v>
      </c>
      <c r="P203" s="1139"/>
    </row>
    <row r="204" spans="2:22" x14ac:dyDescent="0.2">
      <c r="B204" s="2584"/>
      <c r="C204" s="1156"/>
      <c r="D204" s="345"/>
      <c r="E204" s="345"/>
      <c r="F204" s="345"/>
      <c r="G204" s="1177"/>
      <c r="H204" s="2634"/>
      <c r="I204" s="2634"/>
      <c r="J204" s="345"/>
      <c r="K204" s="345"/>
      <c r="L204" s="345"/>
      <c r="M204" s="345"/>
      <c r="N204" s="345"/>
      <c r="O204" s="345"/>
      <c r="P204" s="1139"/>
    </row>
    <row r="205" spans="2:22" s="1138" customFormat="1" ht="13.5" thickBot="1" x14ac:dyDescent="0.25">
      <c r="B205" s="2584"/>
      <c r="C205" s="2635" t="str">
        <f>IF(I206=0,"NÃO preencher o proximo quadro","OBRIGADO PREENCHER PROXIMO QUADRO")</f>
        <v>NÃO preencher o proximo quadro</v>
      </c>
      <c r="D205" s="1162"/>
      <c r="E205" s="1162"/>
      <c r="F205" s="1162"/>
      <c r="G205" s="1162"/>
      <c r="H205" s="1162"/>
      <c r="I205" s="1162"/>
      <c r="J205" s="345"/>
      <c r="K205" s="345"/>
      <c r="L205" s="345"/>
      <c r="M205" s="345"/>
      <c r="N205" s="345"/>
      <c r="O205" s="345"/>
      <c r="P205" s="1139"/>
      <c r="Q205" s="345"/>
      <c r="R205" s="345"/>
      <c r="S205" s="345"/>
      <c r="T205" s="345"/>
      <c r="U205" s="345"/>
      <c r="V205" s="345"/>
    </row>
    <row r="206" spans="2:22" ht="24.75" customHeight="1" thickBot="1" x14ac:dyDescent="0.25">
      <c r="B206" s="2584"/>
      <c r="C206" s="2627" t="s">
        <v>113</v>
      </c>
      <c r="D206" s="2597">
        <f>SOLO!G34</f>
        <v>0</v>
      </c>
      <c r="E206" s="2629"/>
      <c r="F206" s="2628"/>
      <c r="G206" s="2630" t="s">
        <v>114</v>
      </c>
      <c r="H206" s="2599"/>
      <c r="I206" s="2598">
        <f>SOLO!I34+SOLO!J34</f>
        <v>0</v>
      </c>
      <c r="J206" s="2915" t="s">
        <v>115</v>
      </c>
      <c r="K206" s="2916"/>
      <c r="L206" s="2917"/>
      <c r="M206" s="1167"/>
      <c r="N206" s="1167"/>
      <c r="O206" s="1168"/>
      <c r="P206" s="1139"/>
    </row>
    <row r="207" spans="2:22" ht="39" thickBot="1" x14ac:dyDescent="0.25">
      <c r="B207" s="2584"/>
      <c r="C207" s="2587" t="s">
        <v>116</v>
      </c>
      <c r="D207" s="2588" t="s">
        <v>772</v>
      </c>
      <c r="E207" s="2588" t="s">
        <v>770</v>
      </c>
      <c r="F207" s="2589" t="s">
        <v>432</v>
      </c>
      <c r="G207" s="2588" t="s">
        <v>771</v>
      </c>
      <c r="H207" s="2640"/>
      <c r="I207" s="2641" t="s">
        <v>118</v>
      </c>
      <c r="J207" s="1169" t="s">
        <v>119</v>
      </c>
      <c r="K207" s="1169" t="s">
        <v>120</v>
      </c>
      <c r="L207" s="1169" t="s">
        <v>121</v>
      </c>
      <c r="M207" s="1169" t="s">
        <v>122</v>
      </c>
      <c r="N207" s="1169" t="s">
        <v>128</v>
      </c>
      <c r="O207" s="1170" t="s">
        <v>129</v>
      </c>
      <c r="P207" s="1139"/>
    </row>
    <row r="208" spans="2:22" x14ac:dyDescent="0.2">
      <c r="B208" s="2582">
        <v>1</v>
      </c>
      <c r="C208" s="2594" t="s">
        <v>1054</v>
      </c>
      <c r="D208" s="2698"/>
      <c r="E208" s="2699"/>
      <c r="F208" s="2613">
        <f t="shared" ref="F208:F225" si="43">E208*I$206</f>
        <v>0</v>
      </c>
      <c r="G208" s="2700"/>
      <c r="H208" s="2601"/>
      <c r="I208" s="2602">
        <f>F208*G208</f>
        <v>0</v>
      </c>
      <c r="J208" s="1171"/>
      <c r="K208" s="1171"/>
      <c r="L208" s="1171"/>
      <c r="M208" s="1150">
        <f>F208*J208/100</f>
        <v>0</v>
      </c>
      <c r="N208" s="1151">
        <f t="shared" ref="N208:N222" si="44">K208*F208/100</f>
        <v>0</v>
      </c>
      <c r="O208" s="1151">
        <f t="shared" ref="O208:O222" si="45">F208*L208/100</f>
        <v>0</v>
      </c>
      <c r="P208" s="1139"/>
    </row>
    <row r="209" spans="2:16" x14ac:dyDescent="0.2">
      <c r="B209" s="2583">
        <f>B208+1</f>
        <v>2</v>
      </c>
      <c r="C209" s="2586" t="s">
        <v>1055</v>
      </c>
      <c r="D209" s="2698"/>
      <c r="E209" s="2444"/>
      <c r="F209" s="2614">
        <f t="shared" si="43"/>
        <v>0</v>
      </c>
      <c r="G209" s="2443"/>
      <c r="H209" s="2601"/>
      <c r="I209" s="2602">
        <f>F209*G209</f>
        <v>0</v>
      </c>
      <c r="J209" s="1152"/>
      <c r="K209" s="1152"/>
      <c r="L209" s="1152"/>
      <c r="M209" s="1150">
        <f>F209*J209/100</f>
        <v>0</v>
      </c>
      <c r="N209" s="1151">
        <f t="shared" si="44"/>
        <v>0</v>
      </c>
      <c r="O209" s="1151">
        <f t="shared" si="45"/>
        <v>0</v>
      </c>
      <c r="P209" s="1139"/>
    </row>
    <row r="210" spans="2:16" x14ac:dyDescent="0.2">
      <c r="B210" s="2583">
        <f t="shared" ref="B210:B222" si="46">B209+1</f>
        <v>3</v>
      </c>
      <c r="C210" s="2586" t="s">
        <v>1056</v>
      </c>
      <c r="D210" s="2698"/>
      <c r="E210" s="2444"/>
      <c r="F210" s="2614">
        <f t="shared" si="43"/>
        <v>0</v>
      </c>
      <c r="G210" s="2443"/>
      <c r="H210" s="2601"/>
      <c r="I210" s="2602">
        <f t="shared" ref="I210:I225" si="47">F210*G210</f>
        <v>0</v>
      </c>
      <c r="J210" s="1152"/>
      <c r="K210" s="1152"/>
      <c r="L210" s="1152"/>
      <c r="M210" s="1150">
        <v>48</v>
      </c>
      <c r="N210" s="1151">
        <f t="shared" si="44"/>
        <v>0</v>
      </c>
      <c r="O210" s="1151">
        <f t="shared" si="45"/>
        <v>0</v>
      </c>
      <c r="P210" s="1139"/>
    </row>
    <row r="211" spans="2:16" x14ac:dyDescent="0.2">
      <c r="B211" s="2583">
        <f t="shared" si="46"/>
        <v>4</v>
      </c>
      <c r="C211" s="2595" t="s">
        <v>675</v>
      </c>
      <c r="D211" s="2698"/>
      <c r="E211" s="2444"/>
      <c r="F211" s="2614">
        <f t="shared" si="43"/>
        <v>0</v>
      </c>
      <c r="G211" s="2443"/>
      <c r="H211" s="2601"/>
      <c r="I211" s="2602">
        <f t="shared" si="47"/>
        <v>0</v>
      </c>
      <c r="J211" s="1152"/>
      <c r="K211" s="1152"/>
      <c r="L211" s="1152"/>
      <c r="M211" s="1150">
        <f t="shared" ref="M211:M222" si="48">F211*J211/100</f>
        <v>0</v>
      </c>
      <c r="N211" s="1151">
        <f t="shared" si="44"/>
        <v>0</v>
      </c>
      <c r="O211" s="1151">
        <f t="shared" si="45"/>
        <v>0</v>
      </c>
      <c r="P211" s="1139"/>
    </row>
    <row r="212" spans="2:16" x14ac:dyDescent="0.2">
      <c r="B212" s="2583">
        <f t="shared" si="46"/>
        <v>5</v>
      </c>
      <c r="C212" s="2586" t="s">
        <v>1057</v>
      </c>
      <c r="D212" s="2698"/>
      <c r="E212" s="2444"/>
      <c r="F212" s="2614">
        <f t="shared" si="43"/>
        <v>0</v>
      </c>
      <c r="G212" s="2443"/>
      <c r="H212" s="2601"/>
      <c r="I212" s="2602">
        <f t="shared" si="47"/>
        <v>0</v>
      </c>
      <c r="J212" s="1152"/>
      <c r="K212" s="1152"/>
      <c r="L212" s="1152"/>
      <c r="M212" s="1150">
        <f t="shared" si="48"/>
        <v>0</v>
      </c>
      <c r="N212" s="1151">
        <f t="shared" si="44"/>
        <v>0</v>
      </c>
      <c r="O212" s="1151">
        <f t="shared" si="45"/>
        <v>0</v>
      </c>
      <c r="P212" s="1139"/>
    </row>
    <row r="213" spans="2:16" x14ac:dyDescent="0.2">
      <c r="B213" s="2583">
        <f t="shared" si="46"/>
        <v>6</v>
      </c>
      <c r="C213" s="2586" t="s">
        <v>1058</v>
      </c>
      <c r="D213" s="2444"/>
      <c r="E213" s="2444"/>
      <c r="F213" s="2614">
        <f t="shared" si="43"/>
        <v>0</v>
      </c>
      <c r="G213" s="2443"/>
      <c r="H213" s="2601"/>
      <c r="I213" s="2602">
        <f t="shared" si="47"/>
        <v>0</v>
      </c>
      <c r="J213" s="1152"/>
      <c r="K213" s="1152"/>
      <c r="L213" s="1152"/>
      <c r="M213" s="1150">
        <f t="shared" si="48"/>
        <v>0</v>
      </c>
      <c r="N213" s="1151">
        <f t="shared" si="44"/>
        <v>0</v>
      </c>
      <c r="O213" s="1151">
        <f t="shared" si="45"/>
        <v>0</v>
      </c>
      <c r="P213" s="1139"/>
    </row>
    <row r="214" spans="2:16" x14ac:dyDescent="0.2">
      <c r="B214" s="2583">
        <f t="shared" si="46"/>
        <v>7</v>
      </c>
      <c r="C214" s="2586" t="s">
        <v>1059</v>
      </c>
      <c r="D214" s="2444"/>
      <c r="E214" s="2444"/>
      <c r="F214" s="2614">
        <f t="shared" si="43"/>
        <v>0</v>
      </c>
      <c r="G214" s="2443"/>
      <c r="H214" s="2601"/>
      <c r="I214" s="2602">
        <f t="shared" si="47"/>
        <v>0</v>
      </c>
      <c r="J214" s="1152"/>
      <c r="K214" s="1152"/>
      <c r="L214" s="1152"/>
      <c r="M214" s="1150">
        <f t="shared" si="48"/>
        <v>0</v>
      </c>
      <c r="N214" s="1151">
        <f t="shared" si="44"/>
        <v>0</v>
      </c>
      <c r="O214" s="1151">
        <f t="shared" si="45"/>
        <v>0</v>
      </c>
      <c r="P214" s="1139"/>
    </row>
    <row r="215" spans="2:16" x14ac:dyDescent="0.2">
      <c r="B215" s="2583">
        <f t="shared" si="46"/>
        <v>8</v>
      </c>
      <c r="C215" s="2586" t="s">
        <v>1060</v>
      </c>
      <c r="D215" s="2444"/>
      <c r="E215" s="2444"/>
      <c r="F215" s="2614">
        <f t="shared" si="43"/>
        <v>0</v>
      </c>
      <c r="G215" s="2443"/>
      <c r="H215" s="2601"/>
      <c r="I215" s="2602">
        <f t="shared" si="47"/>
        <v>0</v>
      </c>
      <c r="J215" s="1152"/>
      <c r="K215" s="1152"/>
      <c r="L215" s="1152"/>
      <c r="M215" s="1150">
        <f t="shared" si="48"/>
        <v>0</v>
      </c>
      <c r="N215" s="1151">
        <f t="shared" si="44"/>
        <v>0</v>
      </c>
      <c r="O215" s="1151">
        <f t="shared" si="45"/>
        <v>0</v>
      </c>
      <c r="P215" s="1139"/>
    </row>
    <row r="216" spans="2:16" x14ac:dyDescent="0.2">
      <c r="B216" s="2583">
        <f t="shared" si="46"/>
        <v>9</v>
      </c>
      <c r="C216" s="2586" t="s">
        <v>1061</v>
      </c>
      <c r="D216" s="2444"/>
      <c r="E216" s="2444"/>
      <c r="F216" s="2614">
        <f t="shared" si="43"/>
        <v>0</v>
      </c>
      <c r="G216" s="2443"/>
      <c r="H216" s="2601"/>
      <c r="I216" s="2602">
        <f t="shared" si="47"/>
        <v>0</v>
      </c>
      <c r="J216" s="1152"/>
      <c r="K216" s="1152"/>
      <c r="L216" s="1152"/>
      <c r="M216" s="1150">
        <f t="shared" si="48"/>
        <v>0</v>
      </c>
      <c r="N216" s="1151">
        <f t="shared" si="44"/>
        <v>0</v>
      </c>
      <c r="O216" s="1151">
        <f t="shared" si="45"/>
        <v>0</v>
      </c>
      <c r="P216" s="1139"/>
    </row>
    <row r="217" spans="2:16" x14ac:dyDescent="0.2">
      <c r="B217" s="2583">
        <f t="shared" si="46"/>
        <v>10</v>
      </c>
      <c r="C217" s="2586" t="s">
        <v>1062</v>
      </c>
      <c r="D217" s="2444"/>
      <c r="E217" s="2444"/>
      <c r="F217" s="2614">
        <f t="shared" si="43"/>
        <v>0</v>
      </c>
      <c r="G217" s="2443"/>
      <c r="H217" s="2601"/>
      <c r="I217" s="2602">
        <f t="shared" si="47"/>
        <v>0</v>
      </c>
      <c r="J217" s="1152"/>
      <c r="K217" s="1152"/>
      <c r="L217" s="1152"/>
      <c r="M217" s="1150">
        <f t="shared" si="48"/>
        <v>0</v>
      </c>
      <c r="N217" s="1151">
        <f t="shared" si="44"/>
        <v>0</v>
      </c>
      <c r="O217" s="1151">
        <f t="shared" si="45"/>
        <v>0</v>
      </c>
      <c r="P217" s="1139"/>
    </row>
    <row r="218" spans="2:16" x14ac:dyDescent="0.2">
      <c r="B218" s="2583">
        <f t="shared" si="46"/>
        <v>11</v>
      </c>
      <c r="C218" s="2586" t="s">
        <v>1063</v>
      </c>
      <c r="D218" s="2444"/>
      <c r="E218" s="2444"/>
      <c r="F218" s="2614">
        <f t="shared" si="43"/>
        <v>0</v>
      </c>
      <c r="G218" s="2443"/>
      <c r="H218" s="2601"/>
      <c r="I218" s="2602">
        <f t="shared" si="47"/>
        <v>0</v>
      </c>
      <c r="J218" s="1152"/>
      <c r="K218" s="1152"/>
      <c r="L218" s="1152"/>
      <c r="M218" s="1150">
        <f t="shared" si="48"/>
        <v>0</v>
      </c>
      <c r="N218" s="1151">
        <f t="shared" si="44"/>
        <v>0</v>
      </c>
      <c r="O218" s="1151">
        <f t="shared" si="45"/>
        <v>0</v>
      </c>
      <c r="P218" s="1139"/>
    </row>
    <row r="219" spans="2:16" x14ac:dyDescent="0.2">
      <c r="B219" s="2583">
        <f t="shared" si="46"/>
        <v>12</v>
      </c>
      <c r="C219" s="2586" t="s">
        <v>1064</v>
      </c>
      <c r="D219" s="2444"/>
      <c r="E219" s="2444"/>
      <c r="F219" s="2614">
        <f t="shared" si="43"/>
        <v>0</v>
      </c>
      <c r="G219" s="2443"/>
      <c r="H219" s="2601"/>
      <c r="I219" s="2602">
        <f t="shared" si="47"/>
        <v>0</v>
      </c>
      <c r="J219" s="1152"/>
      <c r="K219" s="1152"/>
      <c r="L219" s="1152"/>
      <c r="M219" s="1150">
        <f t="shared" si="48"/>
        <v>0</v>
      </c>
      <c r="N219" s="1151">
        <f t="shared" si="44"/>
        <v>0</v>
      </c>
      <c r="O219" s="1151">
        <f t="shared" si="45"/>
        <v>0</v>
      </c>
      <c r="P219" s="1139"/>
    </row>
    <row r="220" spans="2:16" x14ac:dyDescent="0.2">
      <c r="B220" s="2583">
        <f t="shared" si="46"/>
        <v>13</v>
      </c>
      <c r="C220" s="2586" t="s">
        <v>1065</v>
      </c>
      <c r="D220" s="2444"/>
      <c r="E220" s="2444"/>
      <c r="F220" s="2614">
        <f t="shared" si="43"/>
        <v>0</v>
      </c>
      <c r="G220" s="2443"/>
      <c r="H220" s="2601"/>
      <c r="I220" s="2602">
        <f t="shared" si="47"/>
        <v>0</v>
      </c>
      <c r="J220" s="1152"/>
      <c r="K220" s="1152"/>
      <c r="L220" s="1152"/>
      <c r="M220" s="1150">
        <f t="shared" si="48"/>
        <v>0</v>
      </c>
      <c r="N220" s="1151">
        <f t="shared" si="44"/>
        <v>0</v>
      </c>
      <c r="O220" s="1151">
        <f t="shared" si="45"/>
        <v>0</v>
      </c>
      <c r="P220" s="1139"/>
    </row>
    <row r="221" spans="2:16" ht="13.5" thickBot="1" x14ac:dyDescent="0.25">
      <c r="B221" s="2583">
        <f t="shared" si="46"/>
        <v>14</v>
      </c>
      <c r="C221" s="2586" t="s">
        <v>916</v>
      </c>
      <c r="D221" s="2615"/>
      <c r="E221" s="2615"/>
      <c r="F221" s="2616">
        <f t="shared" si="43"/>
        <v>0</v>
      </c>
      <c r="G221" s="2617"/>
      <c r="H221" s="2603"/>
      <c r="I221" s="2604">
        <f t="shared" si="47"/>
        <v>0</v>
      </c>
      <c r="J221" s="1152"/>
      <c r="K221" s="1152"/>
      <c r="L221" s="1152"/>
      <c r="M221" s="1150">
        <f t="shared" si="48"/>
        <v>0</v>
      </c>
      <c r="N221" s="1151">
        <f t="shared" si="44"/>
        <v>0</v>
      </c>
      <c r="O221" s="1151">
        <f t="shared" si="45"/>
        <v>0</v>
      </c>
      <c r="P221" s="1139"/>
    </row>
    <row r="222" spans="2:16" ht="13.5" thickBot="1" x14ac:dyDescent="0.25">
      <c r="B222" s="2583">
        <f t="shared" si="46"/>
        <v>15</v>
      </c>
      <c r="C222" s="1892" t="s">
        <v>890</v>
      </c>
      <c r="D222" s="2631" t="s">
        <v>619</v>
      </c>
      <c r="E222" s="2631">
        <v>1</v>
      </c>
      <c r="F222" s="2618">
        <f>E222*I$206</f>
        <v>0</v>
      </c>
      <c r="G222" s="2619">
        <f>F27</f>
        <v>0</v>
      </c>
      <c r="H222" s="2620"/>
      <c r="I222" s="2621">
        <f>F222*G222</f>
        <v>0</v>
      </c>
      <c r="J222" s="1174"/>
      <c r="K222" s="1153"/>
      <c r="L222" s="1153"/>
      <c r="M222" s="1154">
        <f t="shared" si="48"/>
        <v>0</v>
      </c>
      <c r="N222" s="1155">
        <f t="shared" si="44"/>
        <v>0</v>
      </c>
      <c r="O222" s="1155">
        <f t="shared" si="45"/>
        <v>0</v>
      </c>
      <c r="P222" s="1139"/>
    </row>
    <row r="223" spans="2:16" x14ac:dyDescent="0.2">
      <c r="B223" s="2583">
        <f>B219+1</f>
        <v>13</v>
      </c>
      <c r="C223" s="2659"/>
      <c r="D223" s="2622"/>
      <c r="E223" s="2622"/>
      <c r="F223" s="2623">
        <f t="shared" si="43"/>
        <v>0</v>
      </c>
      <c r="G223" s="2624"/>
      <c r="H223" s="2605"/>
      <c r="I223" s="2606">
        <f t="shared" si="47"/>
        <v>0</v>
      </c>
      <c r="J223" s="1704"/>
      <c r="K223" s="1153"/>
      <c r="L223" s="1153"/>
      <c r="M223" s="1154"/>
      <c r="N223" s="1155"/>
      <c r="O223" s="1155"/>
      <c r="P223" s="1139"/>
    </row>
    <row r="224" spans="2:16" x14ac:dyDescent="0.2">
      <c r="B224" s="2583">
        <f>B223+1</f>
        <v>14</v>
      </c>
      <c r="C224" s="29"/>
      <c r="D224" s="2444"/>
      <c r="E224" s="2444"/>
      <c r="F224" s="2614">
        <f t="shared" si="43"/>
        <v>0</v>
      </c>
      <c r="G224" s="2443"/>
      <c r="H224" s="2601"/>
      <c r="I224" s="2602">
        <f t="shared" si="47"/>
        <v>0</v>
      </c>
      <c r="J224" s="1704"/>
      <c r="K224" s="1153"/>
      <c r="L224" s="1153"/>
      <c r="M224" s="1154"/>
      <c r="N224" s="1155"/>
      <c r="O224" s="1155"/>
      <c r="P224" s="1139"/>
    </row>
    <row r="225" spans="2:22" ht="13.5" thickBot="1" x14ac:dyDescent="0.25">
      <c r="B225" s="2583">
        <f>B224+1</f>
        <v>15</v>
      </c>
      <c r="C225" s="29"/>
      <c r="D225" s="2447"/>
      <c r="E225" s="2447"/>
      <c r="F225" s="2625">
        <f t="shared" si="43"/>
        <v>0</v>
      </c>
      <c r="G225" s="2626"/>
      <c r="H225" s="2607"/>
      <c r="I225" s="2608">
        <f t="shared" si="47"/>
        <v>0</v>
      </c>
      <c r="J225" s="1704"/>
      <c r="K225" s="1153"/>
      <c r="L225" s="1153"/>
      <c r="M225" s="1154"/>
      <c r="N225" s="1155"/>
      <c r="O225" s="1155"/>
      <c r="P225" s="1139"/>
    </row>
    <row r="226" spans="2:22" ht="19.5" customHeight="1" thickBot="1" x14ac:dyDescent="0.25">
      <c r="B226" s="2584"/>
      <c r="C226" s="1156"/>
      <c r="D226" s="345"/>
      <c r="E226" s="345"/>
      <c r="F226" s="2645"/>
      <c r="G226" s="2643" t="s">
        <v>434</v>
      </c>
      <c r="H226" s="2632"/>
      <c r="I226" s="2639">
        <f>SUM(SUMIF(I208:I225,"&gt;0",I208:I225))</f>
        <v>0</v>
      </c>
      <c r="J226" s="1157"/>
      <c r="K226" s="1158" t="s">
        <v>125</v>
      </c>
      <c r="L226" s="1158"/>
      <c r="M226" s="1159">
        <f>SUM(M208:M222)</f>
        <v>48</v>
      </c>
      <c r="N226" s="1159">
        <f>SUM(N208:N222)</f>
        <v>0</v>
      </c>
      <c r="O226" s="1160">
        <f>SUM(O208:O222)</f>
        <v>0</v>
      </c>
      <c r="P226" s="1139"/>
    </row>
    <row r="227" spans="2:22" ht="19.5" customHeight="1" thickBot="1" x14ac:dyDescent="0.25">
      <c r="B227" s="2584"/>
      <c r="C227" s="1156"/>
      <c r="D227" s="345"/>
      <c r="E227" s="345"/>
      <c r="F227" s="2645"/>
      <c r="G227" s="2644" t="s">
        <v>126</v>
      </c>
      <c r="H227" s="2633"/>
      <c r="I227" s="2638">
        <f>IF(I206=0,0,I226/I206)</f>
        <v>0</v>
      </c>
      <c r="J227" s="1163"/>
      <c r="K227" s="1164" t="s">
        <v>127</v>
      </c>
      <c r="L227" s="1164"/>
      <c r="M227" s="1165" t="e">
        <f>M226/$I$206</f>
        <v>#DIV/0!</v>
      </c>
      <c r="N227" s="1165" t="e">
        <f>N226/$I$206</f>
        <v>#DIV/0!</v>
      </c>
      <c r="O227" s="1166" t="e">
        <f>O226/$I$206</f>
        <v>#DIV/0!</v>
      </c>
      <c r="P227" s="1139"/>
    </row>
    <row r="228" spans="2:22" x14ac:dyDescent="0.2">
      <c r="B228" s="2584"/>
      <c r="C228" s="1156"/>
      <c r="D228" s="345"/>
      <c r="E228" s="345"/>
      <c r="F228" s="345"/>
      <c r="G228" s="1177"/>
      <c r="H228" s="2634"/>
      <c r="I228" s="2634"/>
      <c r="J228" s="345"/>
      <c r="K228" s="345"/>
      <c r="L228" s="345"/>
      <c r="M228" s="345"/>
      <c r="N228" s="345"/>
      <c r="O228" s="345"/>
      <c r="P228" s="1139"/>
    </row>
    <row r="229" spans="2:22" s="1138" customFormat="1" ht="13.5" thickBot="1" x14ac:dyDescent="0.25">
      <c r="B229" s="2584"/>
      <c r="C229" s="2635" t="str">
        <f>IF(I230=0,"NÃO preencher o proximo quadro","OBRIGADO PREENCHER PROXIMO QUADRO")</f>
        <v>NÃO preencher o proximo quadro</v>
      </c>
      <c r="D229" s="1162"/>
      <c r="E229" s="1162"/>
      <c r="F229" s="1162"/>
      <c r="G229" s="1162"/>
      <c r="H229" s="1162"/>
      <c r="I229" s="1162"/>
      <c r="J229" s="345"/>
      <c r="K229" s="345"/>
      <c r="L229" s="345"/>
      <c r="M229" s="345"/>
      <c r="N229" s="345"/>
      <c r="O229" s="345"/>
      <c r="P229" s="1139"/>
      <c r="Q229" s="345"/>
      <c r="R229" s="345"/>
      <c r="S229" s="345"/>
      <c r="T229" s="345"/>
      <c r="U229" s="345"/>
      <c r="V229" s="345"/>
    </row>
    <row r="230" spans="2:22" ht="24.75" customHeight="1" thickBot="1" x14ac:dyDescent="0.25">
      <c r="B230" s="2584"/>
      <c r="C230" s="2627" t="s">
        <v>113</v>
      </c>
      <c r="D230" s="2597">
        <f>SOLO!G22</f>
        <v>0</v>
      </c>
      <c r="E230" s="2629"/>
      <c r="F230" s="2628"/>
      <c r="G230" s="2630" t="s">
        <v>114</v>
      </c>
      <c r="H230" s="2599"/>
      <c r="I230" s="2598">
        <f>SOLO!I22+SOLO!J22</f>
        <v>0</v>
      </c>
      <c r="J230" s="2915" t="s">
        <v>115</v>
      </c>
      <c r="K230" s="2916"/>
      <c r="L230" s="2917"/>
      <c r="M230" s="1167"/>
      <c r="N230" s="1167"/>
      <c r="O230" s="1168"/>
      <c r="P230" s="1139"/>
    </row>
    <row r="231" spans="2:22" ht="39" thickBot="1" x14ac:dyDescent="0.25">
      <c r="B231" s="2584"/>
      <c r="C231" s="2587" t="s">
        <v>116</v>
      </c>
      <c r="D231" s="2588" t="s">
        <v>772</v>
      </c>
      <c r="E231" s="2588" t="s">
        <v>770</v>
      </c>
      <c r="F231" s="2589" t="s">
        <v>432</v>
      </c>
      <c r="G231" s="2588" t="s">
        <v>771</v>
      </c>
      <c r="H231" s="2640"/>
      <c r="I231" s="2641" t="s">
        <v>118</v>
      </c>
      <c r="J231" s="1169" t="s">
        <v>119</v>
      </c>
      <c r="K231" s="1169" t="s">
        <v>120</v>
      </c>
      <c r="L231" s="1169" t="s">
        <v>121</v>
      </c>
      <c r="M231" s="1169" t="s">
        <v>122</v>
      </c>
      <c r="N231" s="1169" t="s">
        <v>128</v>
      </c>
      <c r="O231" s="1170" t="s">
        <v>129</v>
      </c>
      <c r="P231" s="1139"/>
    </row>
    <row r="232" spans="2:22" x14ac:dyDescent="0.2">
      <c r="B232" s="2582"/>
      <c r="C232" s="2594" t="s">
        <v>762</v>
      </c>
      <c r="D232" s="2698"/>
      <c r="E232" s="2699"/>
      <c r="F232" s="2613">
        <f t="shared" ref="F232:F246" si="49">E232*I$230</f>
        <v>0</v>
      </c>
      <c r="G232" s="2700"/>
      <c r="H232" s="2601"/>
      <c r="I232" s="2602">
        <f t="shared" ref="I232:I246" si="50">F232*G232</f>
        <v>0</v>
      </c>
      <c r="J232" s="1171"/>
      <c r="K232" s="1171"/>
      <c r="L232" s="1171"/>
      <c r="M232" s="1150">
        <f t="shared" ref="M232:M246" si="51">F232*J232/100</f>
        <v>0</v>
      </c>
      <c r="N232" s="1151">
        <f t="shared" ref="N232:N246" si="52">K232*F232/100</f>
        <v>0</v>
      </c>
      <c r="O232" s="1151">
        <f t="shared" ref="O232:O246" si="53">F232*L232/100</f>
        <v>0</v>
      </c>
      <c r="P232" s="1139"/>
    </row>
    <row r="233" spans="2:22" x14ac:dyDescent="0.2">
      <c r="B233" s="2583"/>
      <c r="C233" s="2586" t="s">
        <v>675</v>
      </c>
      <c r="D233" s="2698"/>
      <c r="E233" s="2444"/>
      <c r="F233" s="2614">
        <f t="shared" si="49"/>
        <v>0</v>
      </c>
      <c r="G233" s="2443"/>
      <c r="H233" s="2601"/>
      <c r="I233" s="2602">
        <f t="shared" si="50"/>
        <v>0</v>
      </c>
      <c r="J233" s="1152"/>
      <c r="K233" s="1152"/>
      <c r="L233" s="1152"/>
      <c r="M233" s="1150">
        <f t="shared" si="51"/>
        <v>0</v>
      </c>
      <c r="N233" s="1151">
        <f t="shared" si="52"/>
        <v>0</v>
      </c>
      <c r="O233" s="1151">
        <f t="shared" si="53"/>
        <v>0</v>
      </c>
      <c r="P233" s="1139"/>
    </row>
    <row r="234" spans="2:22" x14ac:dyDescent="0.2">
      <c r="B234" s="2583"/>
      <c r="C234" s="2586" t="s">
        <v>773</v>
      </c>
      <c r="D234" s="2698"/>
      <c r="E234" s="2444"/>
      <c r="F234" s="2614">
        <f t="shared" si="49"/>
        <v>0</v>
      </c>
      <c r="G234" s="2443"/>
      <c r="H234" s="2601"/>
      <c r="I234" s="2602">
        <f t="shared" si="50"/>
        <v>0</v>
      </c>
      <c r="J234" s="1152"/>
      <c r="K234" s="1152"/>
      <c r="L234" s="1152"/>
      <c r="M234" s="1150">
        <f t="shared" si="51"/>
        <v>0</v>
      </c>
      <c r="N234" s="1151">
        <f t="shared" si="52"/>
        <v>0</v>
      </c>
      <c r="O234" s="1151">
        <f t="shared" si="53"/>
        <v>0</v>
      </c>
      <c r="P234" s="1139"/>
    </row>
    <row r="235" spans="2:22" ht="13.5" thickBot="1" x14ac:dyDescent="0.25">
      <c r="B235" s="2583"/>
      <c r="C235" s="2595" t="s">
        <v>781</v>
      </c>
      <c r="D235" s="2698"/>
      <c r="E235" s="2444"/>
      <c r="F235" s="2614">
        <f t="shared" si="49"/>
        <v>0</v>
      </c>
      <c r="G235" s="2443"/>
      <c r="H235" s="2601"/>
      <c r="I235" s="2602">
        <f t="shared" si="50"/>
        <v>0</v>
      </c>
      <c r="J235" s="1152"/>
      <c r="K235" s="1152"/>
      <c r="L235" s="1152"/>
      <c r="M235" s="1150">
        <f t="shared" si="51"/>
        <v>0</v>
      </c>
      <c r="N235" s="1151">
        <f t="shared" si="52"/>
        <v>0</v>
      </c>
      <c r="O235" s="1151">
        <f t="shared" si="53"/>
        <v>0</v>
      </c>
      <c r="P235" s="1139"/>
    </row>
    <row r="236" spans="2:22" ht="13.5" thickBot="1" x14ac:dyDescent="0.25">
      <c r="B236" s="2583"/>
      <c r="C236" s="1892" t="s">
        <v>890</v>
      </c>
      <c r="D236" s="2631" t="s">
        <v>619</v>
      </c>
      <c r="E236" s="2631">
        <v>1</v>
      </c>
      <c r="F236" s="2618">
        <f>E236*I$230</f>
        <v>0</v>
      </c>
      <c r="G236" s="2619">
        <f>F19</f>
        <v>0</v>
      </c>
      <c r="H236" s="2620"/>
      <c r="I236" s="2621">
        <f t="shared" si="50"/>
        <v>0</v>
      </c>
      <c r="J236" s="1174"/>
      <c r="K236" s="1153"/>
      <c r="L236" s="1153"/>
      <c r="M236" s="1154">
        <f t="shared" si="51"/>
        <v>0</v>
      </c>
      <c r="N236" s="1155">
        <f t="shared" si="52"/>
        <v>0</v>
      </c>
      <c r="O236" s="1155">
        <f t="shared" si="53"/>
        <v>0</v>
      </c>
      <c r="P236" s="1139"/>
    </row>
    <row r="237" spans="2:22" x14ac:dyDescent="0.2">
      <c r="B237" s="2583"/>
      <c r="C237" s="2659"/>
      <c r="D237" s="2622"/>
      <c r="E237" s="2622"/>
      <c r="F237" s="2623">
        <f t="shared" si="49"/>
        <v>0</v>
      </c>
      <c r="G237" s="2624"/>
      <c r="H237" s="2605"/>
      <c r="I237" s="2606">
        <f t="shared" si="50"/>
        <v>0</v>
      </c>
      <c r="J237" s="1704"/>
      <c r="K237" s="1153"/>
      <c r="L237" s="1153"/>
      <c r="M237" s="1154">
        <f t="shared" si="51"/>
        <v>0</v>
      </c>
      <c r="N237" s="1155">
        <f t="shared" si="52"/>
        <v>0</v>
      </c>
      <c r="O237" s="1155">
        <f t="shared" si="53"/>
        <v>0</v>
      </c>
      <c r="P237" s="1139"/>
    </row>
    <row r="238" spans="2:22" x14ac:dyDescent="0.2">
      <c r="B238" s="2583"/>
      <c r="C238" s="29"/>
      <c r="D238" s="2444"/>
      <c r="E238" s="2444"/>
      <c r="F238" s="2614">
        <f t="shared" si="49"/>
        <v>0</v>
      </c>
      <c r="G238" s="2443"/>
      <c r="H238" s="2601"/>
      <c r="I238" s="2602">
        <f t="shared" si="50"/>
        <v>0</v>
      </c>
      <c r="J238" s="1704"/>
      <c r="K238" s="1153"/>
      <c r="L238" s="1153"/>
      <c r="M238" s="1154">
        <f t="shared" si="51"/>
        <v>0</v>
      </c>
      <c r="N238" s="1155">
        <f t="shared" si="52"/>
        <v>0</v>
      </c>
      <c r="O238" s="1155">
        <f t="shared" si="53"/>
        <v>0</v>
      </c>
      <c r="P238" s="1139"/>
    </row>
    <row r="239" spans="2:22" x14ac:dyDescent="0.2">
      <c r="B239" s="2583"/>
      <c r="C239" s="2659"/>
      <c r="D239" s="2622"/>
      <c r="E239" s="2622"/>
      <c r="F239" s="2623">
        <f t="shared" si="49"/>
        <v>0</v>
      </c>
      <c r="G239" s="2624"/>
      <c r="H239" s="2605"/>
      <c r="I239" s="2606">
        <f t="shared" si="50"/>
        <v>0</v>
      </c>
      <c r="J239" s="1704"/>
      <c r="K239" s="1153"/>
      <c r="L239" s="1153"/>
      <c r="M239" s="1154">
        <f t="shared" si="51"/>
        <v>0</v>
      </c>
      <c r="N239" s="1155">
        <f t="shared" si="52"/>
        <v>0</v>
      </c>
      <c r="O239" s="1155">
        <f t="shared" si="53"/>
        <v>0</v>
      </c>
      <c r="P239" s="1139"/>
    </row>
    <row r="240" spans="2:22" x14ac:dyDescent="0.2">
      <c r="B240" s="2583"/>
      <c r="C240" s="29"/>
      <c r="D240" s="2444"/>
      <c r="E240" s="2444"/>
      <c r="F240" s="2614">
        <f t="shared" si="49"/>
        <v>0</v>
      </c>
      <c r="G240" s="2443"/>
      <c r="H240" s="2601"/>
      <c r="I240" s="2602">
        <f t="shared" si="50"/>
        <v>0</v>
      </c>
      <c r="J240" s="1704"/>
      <c r="K240" s="1153"/>
      <c r="L240" s="1153"/>
      <c r="M240" s="1154">
        <f t="shared" si="51"/>
        <v>0</v>
      </c>
      <c r="N240" s="1155">
        <f t="shared" si="52"/>
        <v>0</v>
      </c>
      <c r="O240" s="1155">
        <f t="shared" si="53"/>
        <v>0</v>
      </c>
      <c r="P240" s="1139"/>
    </row>
    <row r="241" spans="2:22" x14ac:dyDescent="0.2">
      <c r="B241" s="2583"/>
      <c r="C241" s="2659"/>
      <c r="D241" s="2622"/>
      <c r="E241" s="2622"/>
      <c r="F241" s="2623">
        <f t="shared" si="49"/>
        <v>0</v>
      </c>
      <c r="G241" s="2624"/>
      <c r="H241" s="2605"/>
      <c r="I241" s="2606">
        <f t="shared" si="50"/>
        <v>0</v>
      </c>
      <c r="J241" s="1704"/>
      <c r="K241" s="1153"/>
      <c r="L241" s="1153"/>
      <c r="M241" s="1154">
        <f t="shared" si="51"/>
        <v>0</v>
      </c>
      <c r="N241" s="1155">
        <f t="shared" si="52"/>
        <v>0</v>
      </c>
      <c r="O241" s="1155">
        <f t="shared" si="53"/>
        <v>0</v>
      </c>
      <c r="P241" s="1139"/>
    </row>
    <row r="242" spans="2:22" x14ac:dyDescent="0.2">
      <c r="B242" s="2583"/>
      <c r="C242" s="29"/>
      <c r="D242" s="2444"/>
      <c r="E242" s="2444"/>
      <c r="F242" s="2614">
        <f t="shared" si="49"/>
        <v>0</v>
      </c>
      <c r="G242" s="2443"/>
      <c r="H242" s="2601"/>
      <c r="I242" s="2602">
        <f t="shared" si="50"/>
        <v>0</v>
      </c>
      <c r="J242" s="1704"/>
      <c r="K242" s="1153"/>
      <c r="L242" s="1153"/>
      <c r="M242" s="1154">
        <f t="shared" si="51"/>
        <v>0</v>
      </c>
      <c r="N242" s="1155">
        <f t="shared" si="52"/>
        <v>0</v>
      </c>
      <c r="O242" s="1155">
        <f t="shared" si="53"/>
        <v>0</v>
      </c>
      <c r="P242" s="1139"/>
    </row>
    <row r="243" spans="2:22" x14ac:dyDescent="0.2">
      <c r="B243" s="2583"/>
      <c r="C243" s="2659"/>
      <c r="D243" s="2622"/>
      <c r="E243" s="2622"/>
      <c r="F243" s="2623">
        <f t="shared" si="49"/>
        <v>0</v>
      </c>
      <c r="G243" s="2624"/>
      <c r="H243" s="2605"/>
      <c r="I243" s="2606">
        <f t="shared" si="50"/>
        <v>0</v>
      </c>
      <c r="J243" s="1704"/>
      <c r="K243" s="1153"/>
      <c r="L243" s="1153"/>
      <c r="M243" s="1154">
        <f t="shared" si="51"/>
        <v>0</v>
      </c>
      <c r="N243" s="1155">
        <f t="shared" si="52"/>
        <v>0</v>
      </c>
      <c r="O243" s="1155">
        <f t="shared" si="53"/>
        <v>0</v>
      </c>
      <c r="P243" s="1139"/>
    </row>
    <row r="244" spans="2:22" x14ac:dyDescent="0.2">
      <c r="B244" s="2583"/>
      <c r="C244" s="29"/>
      <c r="D244" s="2444"/>
      <c r="E244" s="2444"/>
      <c r="F244" s="2614">
        <f t="shared" si="49"/>
        <v>0</v>
      </c>
      <c r="G244" s="2443"/>
      <c r="H244" s="2601"/>
      <c r="I244" s="2602">
        <f t="shared" si="50"/>
        <v>0</v>
      </c>
      <c r="J244" s="1704"/>
      <c r="K244" s="1153"/>
      <c r="L244" s="1153"/>
      <c r="M244" s="1154">
        <f t="shared" si="51"/>
        <v>0</v>
      </c>
      <c r="N244" s="1155">
        <f t="shared" si="52"/>
        <v>0</v>
      </c>
      <c r="O244" s="1155">
        <f t="shared" si="53"/>
        <v>0</v>
      </c>
      <c r="P244" s="1139"/>
    </row>
    <row r="245" spans="2:22" x14ac:dyDescent="0.2">
      <c r="B245" s="2583"/>
      <c r="C245" s="2659"/>
      <c r="D245" s="2622"/>
      <c r="E245" s="2622"/>
      <c r="F245" s="2623">
        <f t="shared" si="49"/>
        <v>0</v>
      </c>
      <c r="G245" s="2624"/>
      <c r="H245" s="2605"/>
      <c r="I245" s="2606">
        <f t="shared" si="50"/>
        <v>0</v>
      </c>
      <c r="J245" s="1704"/>
      <c r="K245" s="1153"/>
      <c r="L245" s="1153"/>
      <c r="M245" s="1154">
        <f t="shared" si="51"/>
        <v>0</v>
      </c>
      <c r="N245" s="1155">
        <f t="shared" si="52"/>
        <v>0</v>
      </c>
      <c r="O245" s="1155">
        <f t="shared" si="53"/>
        <v>0</v>
      </c>
      <c r="P245" s="1139"/>
    </row>
    <row r="246" spans="2:22" ht="13.5" thickBot="1" x14ac:dyDescent="0.25">
      <c r="B246" s="2583"/>
      <c r="C246" s="29"/>
      <c r="D246" s="2444"/>
      <c r="E246" s="2444"/>
      <c r="F246" s="2614">
        <f t="shared" si="49"/>
        <v>0</v>
      </c>
      <c r="G246" s="2443"/>
      <c r="H246" s="2601"/>
      <c r="I246" s="2602">
        <f t="shared" si="50"/>
        <v>0</v>
      </c>
      <c r="J246" s="1704"/>
      <c r="K246" s="1153"/>
      <c r="L246" s="1153"/>
      <c r="M246" s="1154">
        <f t="shared" si="51"/>
        <v>0</v>
      </c>
      <c r="N246" s="1155">
        <f t="shared" si="52"/>
        <v>0</v>
      </c>
      <c r="O246" s="1155">
        <f t="shared" si="53"/>
        <v>0</v>
      </c>
      <c r="P246" s="1139"/>
    </row>
    <row r="247" spans="2:22" ht="19.5" customHeight="1" thickBot="1" x14ac:dyDescent="0.25">
      <c r="B247" s="2584"/>
      <c r="C247" s="2650"/>
      <c r="D247" s="2651"/>
      <c r="E247" s="2651"/>
      <c r="F247" s="2652"/>
      <c r="G247" s="2643" t="s">
        <v>434</v>
      </c>
      <c r="H247" s="2632"/>
      <c r="I247" s="2639">
        <f>SUM(SUMIF(I232:I246,"&gt;0",I232:I246))</f>
        <v>0</v>
      </c>
      <c r="J247" s="1157"/>
      <c r="K247" s="1158" t="s">
        <v>125</v>
      </c>
      <c r="L247" s="1158"/>
      <c r="M247" s="1159">
        <f>SUM(M232:M246)</f>
        <v>0</v>
      </c>
      <c r="N247" s="1159">
        <f>SUM(N232:N246)</f>
        <v>0</v>
      </c>
      <c r="O247" s="1160">
        <f>SUM(O232:O246)</f>
        <v>0</v>
      </c>
      <c r="P247" s="1139"/>
    </row>
    <row r="248" spans="2:22" ht="19.5" customHeight="1" thickBot="1" x14ac:dyDescent="0.25">
      <c r="B248" s="2584"/>
      <c r="C248" s="1156"/>
      <c r="D248" s="345"/>
      <c r="E248" s="345"/>
      <c r="F248" s="2645"/>
      <c r="G248" s="2644" t="s">
        <v>126</v>
      </c>
      <c r="H248" s="2633"/>
      <c r="I248" s="2638">
        <f>IF(I230=0,0,I247/I230)</f>
        <v>0</v>
      </c>
      <c r="J248" s="1163"/>
      <c r="K248" s="1164" t="s">
        <v>127</v>
      </c>
      <c r="L248" s="1164"/>
      <c r="M248" s="1165" t="e">
        <f>M247/$I$230</f>
        <v>#DIV/0!</v>
      </c>
      <c r="N248" s="1165" t="e">
        <f>N247/$I$230</f>
        <v>#DIV/0!</v>
      </c>
      <c r="O248" s="1166" t="e">
        <f>O247/$I$230</f>
        <v>#DIV/0!</v>
      </c>
      <c r="P248" s="1139"/>
    </row>
    <row r="249" spans="2:22" x14ac:dyDescent="0.2">
      <c r="B249" s="2584"/>
      <c r="C249" s="1156"/>
      <c r="D249" s="345"/>
      <c r="E249" s="345"/>
      <c r="F249" s="345"/>
      <c r="G249" s="1177"/>
      <c r="H249" s="2634"/>
      <c r="I249" s="2634"/>
      <c r="J249" s="345"/>
      <c r="K249" s="345"/>
      <c r="L249" s="345"/>
      <c r="M249" s="345"/>
      <c r="N249" s="345"/>
      <c r="O249" s="345"/>
      <c r="P249" s="1139"/>
    </row>
    <row r="250" spans="2:22" s="1138" customFormat="1" ht="13.5" thickBot="1" x14ac:dyDescent="0.25">
      <c r="B250" s="2584"/>
      <c r="C250" s="2635" t="str">
        <f>IF(I251=0,"NÃO preencher o proximo quadro","OBRIGADO PREENCHER PROXIMO QUADRO")</f>
        <v>NÃO preencher o proximo quadro</v>
      </c>
      <c r="D250" s="1162"/>
      <c r="E250" s="1162"/>
      <c r="F250" s="1162"/>
      <c r="G250" s="1162"/>
      <c r="H250" s="1162"/>
      <c r="I250" s="1162"/>
      <c r="J250" s="345"/>
      <c r="K250" s="345"/>
      <c r="L250" s="345"/>
      <c r="M250" s="345"/>
      <c r="N250" s="345"/>
      <c r="O250" s="345"/>
      <c r="P250" s="1139"/>
      <c r="Q250" s="345"/>
      <c r="R250" s="345"/>
      <c r="S250" s="345"/>
      <c r="T250" s="345"/>
      <c r="U250" s="345"/>
      <c r="V250" s="345"/>
    </row>
    <row r="251" spans="2:22" ht="24.75" customHeight="1" thickBot="1" x14ac:dyDescent="0.25">
      <c r="B251" s="2584"/>
      <c r="C251" s="2627" t="s">
        <v>113</v>
      </c>
      <c r="D251" s="2597">
        <f>SOLO!G23</f>
        <v>0</v>
      </c>
      <c r="E251" s="2629"/>
      <c r="F251" s="2628"/>
      <c r="G251" s="2630" t="s">
        <v>114</v>
      </c>
      <c r="H251" s="2599"/>
      <c r="I251" s="2598">
        <f>SOLO!I23+SOLO!J23</f>
        <v>0</v>
      </c>
      <c r="J251" s="2915" t="s">
        <v>115</v>
      </c>
      <c r="K251" s="2916"/>
      <c r="L251" s="2917"/>
      <c r="M251" s="1167"/>
      <c r="N251" s="1167"/>
      <c r="O251" s="1168"/>
      <c r="P251" s="1139"/>
    </row>
    <row r="252" spans="2:22" ht="39" thickBot="1" x14ac:dyDescent="0.25">
      <c r="B252" s="2584"/>
      <c r="C252" s="2587" t="s">
        <v>116</v>
      </c>
      <c r="D252" s="2588" t="s">
        <v>772</v>
      </c>
      <c r="E252" s="2588" t="s">
        <v>770</v>
      </c>
      <c r="F252" s="2589" t="s">
        <v>432</v>
      </c>
      <c r="G252" s="2588" t="s">
        <v>771</v>
      </c>
      <c r="H252" s="2640"/>
      <c r="I252" s="2641" t="s">
        <v>118</v>
      </c>
      <c r="J252" s="1169" t="s">
        <v>119</v>
      </c>
      <c r="K252" s="1169" t="s">
        <v>120</v>
      </c>
      <c r="L252" s="1169" t="s">
        <v>121</v>
      </c>
      <c r="M252" s="1169" t="s">
        <v>122</v>
      </c>
      <c r="N252" s="1169" t="s">
        <v>128</v>
      </c>
      <c r="O252" s="1170" t="s">
        <v>129</v>
      </c>
      <c r="P252" s="1139"/>
    </row>
    <row r="253" spans="2:22" x14ac:dyDescent="0.2">
      <c r="B253" s="2582"/>
      <c r="C253" s="2594" t="s">
        <v>762</v>
      </c>
      <c r="D253" s="2698"/>
      <c r="E253" s="2699"/>
      <c r="F253" s="2613">
        <f t="shared" ref="F253:F267" si="54">E253*I$251</f>
        <v>0</v>
      </c>
      <c r="G253" s="2700"/>
      <c r="H253" s="2601"/>
      <c r="I253" s="2602">
        <f t="shared" ref="I253:I267" si="55">F253*G253</f>
        <v>0</v>
      </c>
      <c r="J253" s="1171"/>
      <c r="K253" s="1171"/>
      <c r="L253" s="1171"/>
      <c r="M253" s="1150">
        <f t="shared" ref="M253:M267" si="56">F253*J253/100</f>
        <v>0</v>
      </c>
      <c r="N253" s="1151">
        <f t="shared" ref="N253:N267" si="57">K253*F253/100</f>
        <v>0</v>
      </c>
      <c r="O253" s="1151">
        <f t="shared" ref="O253:O267" si="58">F253*L253/100</f>
        <v>0</v>
      </c>
      <c r="P253" s="1139"/>
    </row>
    <row r="254" spans="2:22" x14ac:dyDescent="0.2">
      <c r="B254" s="2583"/>
      <c r="C254" s="2586" t="s">
        <v>675</v>
      </c>
      <c r="D254" s="2698"/>
      <c r="E254" s="2444"/>
      <c r="F254" s="2614">
        <f t="shared" si="54"/>
        <v>0</v>
      </c>
      <c r="G254" s="2443"/>
      <c r="H254" s="2601"/>
      <c r="I254" s="2602">
        <f t="shared" si="55"/>
        <v>0</v>
      </c>
      <c r="J254" s="1152"/>
      <c r="K254" s="1152"/>
      <c r="L254" s="1152"/>
      <c r="M254" s="1150">
        <f t="shared" si="56"/>
        <v>0</v>
      </c>
      <c r="N254" s="1151">
        <f t="shared" si="57"/>
        <v>0</v>
      </c>
      <c r="O254" s="1151">
        <f t="shared" si="58"/>
        <v>0</v>
      </c>
      <c r="P254" s="1139"/>
    </row>
    <row r="255" spans="2:22" x14ac:dyDescent="0.2">
      <c r="B255" s="2583"/>
      <c r="C255" s="2586" t="s">
        <v>773</v>
      </c>
      <c r="D255" s="2698"/>
      <c r="E255" s="2444"/>
      <c r="F255" s="2614">
        <f t="shared" si="54"/>
        <v>0</v>
      </c>
      <c r="G255" s="2443"/>
      <c r="H255" s="2601"/>
      <c r="I255" s="2602">
        <f t="shared" si="55"/>
        <v>0</v>
      </c>
      <c r="J255" s="1152"/>
      <c r="K255" s="1152"/>
      <c r="L255" s="1152"/>
      <c r="M255" s="1150">
        <f t="shared" si="56"/>
        <v>0</v>
      </c>
      <c r="N255" s="1151">
        <f t="shared" si="57"/>
        <v>0</v>
      </c>
      <c r="O255" s="1151">
        <f t="shared" si="58"/>
        <v>0</v>
      </c>
      <c r="P255" s="1139"/>
    </row>
    <row r="256" spans="2:22" ht="13.5" thickBot="1" x14ac:dyDescent="0.25">
      <c r="B256" s="2583"/>
      <c r="C256" s="2595" t="s">
        <v>781</v>
      </c>
      <c r="D256" s="2698"/>
      <c r="E256" s="2444"/>
      <c r="F256" s="2614">
        <f t="shared" si="54"/>
        <v>0</v>
      </c>
      <c r="G256" s="2443"/>
      <c r="H256" s="2601"/>
      <c r="I256" s="2602">
        <f t="shared" si="55"/>
        <v>0</v>
      </c>
      <c r="J256" s="1152"/>
      <c r="K256" s="1152"/>
      <c r="L256" s="1152"/>
      <c r="M256" s="1150">
        <f t="shared" si="56"/>
        <v>0</v>
      </c>
      <c r="N256" s="1151">
        <f t="shared" si="57"/>
        <v>0</v>
      </c>
      <c r="O256" s="1151">
        <f t="shared" si="58"/>
        <v>0</v>
      </c>
      <c r="P256" s="1139"/>
    </row>
    <row r="257" spans="2:22" ht="13.5" thickBot="1" x14ac:dyDescent="0.25">
      <c r="B257" s="2583"/>
      <c r="C257" s="1892" t="s">
        <v>890</v>
      </c>
      <c r="D257" s="2631" t="s">
        <v>619</v>
      </c>
      <c r="E257" s="2631">
        <v>1</v>
      </c>
      <c r="F257" s="2618">
        <f>E257*I$251</f>
        <v>0</v>
      </c>
      <c r="G257" s="2619">
        <f>F20</f>
        <v>0</v>
      </c>
      <c r="H257" s="2620"/>
      <c r="I257" s="2621">
        <f>F257*G257</f>
        <v>0</v>
      </c>
      <c r="J257" s="1174"/>
      <c r="K257" s="1153"/>
      <c r="L257" s="1153"/>
      <c r="M257" s="1154">
        <f t="shared" si="56"/>
        <v>0</v>
      </c>
      <c r="N257" s="1155">
        <f t="shared" si="57"/>
        <v>0</v>
      </c>
      <c r="O257" s="1155">
        <f t="shared" si="58"/>
        <v>0</v>
      </c>
      <c r="P257" s="1139"/>
    </row>
    <row r="258" spans="2:22" x14ac:dyDescent="0.2">
      <c r="B258" s="2583"/>
      <c r="C258" s="2659"/>
      <c r="D258" s="2622"/>
      <c r="E258" s="2622"/>
      <c r="F258" s="2623">
        <f t="shared" si="54"/>
        <v>0</v>
      </c>
      <c r="G258" s="2624"/>
      <c r="H258" s="2605"/>
      <c r="I258" s="2606">
        <f t="shared" si="55"/>
        <v>0</v>
      </c>
      <c r="J258" s="1704"/>
      <c r="K258" s="1153"/>
      <c r="L258" s="1153"/>
      <c r="M258" s="1154">
        <f t="shared" si="56"/>
        <v>0</v>
      </c>
      <c r="N258" s="1155">
        <f t="shared" si="57"/>
        <v>0</v>
      </c>
      <c r="O258" s="1155">
        <f t="shared" si="58"/>
        <v>0</v>
      </c>
      <c r="P258" s="1139"/>
    </row>
    <row r="259" spans="2:22" x14ac:dyDescent="0.2">
      <c r="B259" s="2583"/>
      <c r="C259" s="29"/>
      <c r="D259" s="2444"/>
      <c r="E259" s="2444"/>
      <c r="F259" s="2614">
        <f t="shared" si="54"/>
        <v>0</v>
      </c>
      <c r="G259" s="2443"/>
      <c r="H259" s="2601"/>
      <c r="I259" s="2602">
        <f t="shared" si="55"/>
        <v>0</v>
      </c>
      <c r="J259" s="1704"/>
      <c r="K259" s="1153"/>
      <c r="L259" s="1153"/>
      <c r="M259" s="1154">
        <f t="shared" si="56"/>
        <v>0</v>
      </c>
      <c r="N259" s="1155">
        <f t="shared" si="57"/>
        <v>0</v>
      </c>
      <c r="O259" s="1155">
        <f t="shared" si="58"/>
        <v>0</v>
      </c>
      <c r="P259" s="1139"/>
    </row>
    <row r="260" spans="2:22" x14ac:dyDescent="0.2">
      <c r="B260" s="2583"/>
      <c r="C260" s="2659"/>
      <c r="D260" s="2622"/>
      <c r="E260" s="2622"/>
      <c r="F260" s="2623">
        <f t="shared" si="54"/>
        <v>0</v>
      </c>
      <c r="G260" s="2624"/>
      <c r="H260" s="2605"/>
      <c r="I260" s="2606">
        <f t="shared" si="55"/>
        <v>0</v>
      </c>
      <c r="J260" s="1704"/>
      <c r="K260" s="1153"/>
      <c r="L260" s="1153"/>
      <c r="M260" s="1154">
        <f t="shared" si="56"/>
        <v>0</v>
      </c>
      <c r="N260" s="1155">
        <f t="shared" si="57"/>
        <v>0</v>
      </c>
      <c r="O260" s="1155">
        <f t="shared" si="58"/>
        <v>0</v>
      </c>
      <c r="P260" s="1139"/>
    </row>
    <row r="261" spans="2:22" x14ac:dyDescent="0.2">
      <c r="B261" s="2583"/>
      <c r="C261" s="29"/>
      <c r="D261" s="2444"/>
      <c r="E261" s="2444"/>
      <c r="F261" s="2614">
        <f t="shared" si="54"/>
        <v>0</v>
      </c>
      <c r="G261" s="2443"/>
      <c r="H261" s="2601"/>
      <c r="I261" s="2602">
        <f t="shared" si="55"/>
        <v>0</v>
      </c>
      <c r="J261" s="1704"/>
      <c r="K261" s="1153"/>
      <c r="L261" s="1153"/>
      <c r="M261" s="1154">
        <f t="shared" si="56"/>
        <v>0</v>
      </c>
      <c r="N261" s="1155">
        <f t="shared" si="57"/>
        <v>0</v>
      </c>
      <c r="O261" s="1155">
        <f t="shared" si="58"/>
        <v>0</v>
      </c>
      <c r="P261" s="1139"/>
    </row>
    <row r="262" spans="2:22" x14ac:dyDescent="0.2">
      <c r="B262" s="2583"/>
      <c r="C262" s="2659"/>
      <c r="D262" s="2622"/>
      <c r="E262" s="2622"/>
      <c r="F262" s="2623">
        <f t="shared" si="54"/>
        <v>0</v>
      </c>
      <c r="G262" s="2624"/>
      <c r="H262" s="2605"/>
      <c r="I262" s="2606">
        <f t="shared" si="55"/>
        <v>0</v>
      </c>
      <c r="J262" s="1704"/>
      <c r="K262" s="1153"/>
      <c r="L262" s="1153"/>
      <c r="M262" s="1154">
        <f t="shared" si="56"/>
        <v>0</v>
      </c>
      <c r="N262" s="1155">
        <f t="shared" si="57"/>
        <v>0</v>
      </c>
      <c r="O262" s="1155">
        <f t="shared" si="58"/>
        <v>0</v>
      </c>
      <c r="P262" s="1139"/>
    </row>
    <row r="263" spans="2:22" x14ac:dyDescent="0.2">
      <c r="B263" s="2583"/>
      <c r="C263" s="29"/>
      <c r="D263" s="2444"/>
      <c r="E263" s="2444"/>
      <c r="F263" s="2614">
        <f t="shared" si="54"/>
        <v>0</v>
      </c>
      <c r="G263" s="2443"/>
      <c r="H263" s="2601"/>
      <c r="I263" s="2602">
        <f t="shared" si="55"/>
        <v>0</v>
      </c>
      <c r="J263" s="1704"/>
      <c r="K263" s="1153"/>
      <c r="L263" s="1153"/>
      <c r="M263" s="1154">
        <f t="shared" si="56"/>
        <v>0</v>
      </c>
      <c r="N263" s="1155">
        <f t="shared" si="57"/>
        <v>0</v>
      </c>
      <c r="O263" s="1155">
        <f t="shared" si="58"/>
        <v>0</v>
      </c>
      <c r="P263" s="1139"/>
    </row>
    <row r="264" spans="2:22" x14ac:dyDescent="0.2">
      <c r="B264" s="2583"/>
      <c r="C264" s="2659"/>
      <c r="D264" s="2622"/>
      <c r="E264" s="2622"/>
      <c r="F264" s="2623">
        <f t="shared" si="54"/>
        <v>0</v>
      </c>
      <c r="G264" s="2624"/>
      <c r="H264" s="2605"/>
      <c r="I264" s="2606">
        <f t="shared" si="55"/>
        <v>0</v>
      </c>
      <c r="J264" s="1704"/>
      <c r="K264" s="1153"/>
      <c r="L264" s="1153"/>
      <c r="M264" s="1154">
        <f t="shared" si="56"/>
        <v>0</v>
      </c>
      <c r="N264" s="1155">
        <f t="shared" si="57"/>
        <v>0</v>
      </c>
      <c r="O264" s="1155">
        <f t="shared" si="58"/>
        <v>0</v>
      </c>
      <c r="P264" s="1139"/>
    </row>
    <row r="265" spans="2:22" x14ac:dyDescent="0.2">
      <c r="B265" s="2583"/>
      <c r="C265" s="29"/>
      <c r="D265" s="2444"/>
      <c r="E265" s="2444"/>
      <c r="F265" s="2614">
        <f t="shared" si="54"/>
        <v>0</v>
      </c>
      <c r="G265" s="2443"/>
      <c r="H265" s="2601"/>
      <c r="I265" s="2602">
        <f t="shared" si="55"/>
        <v>0</v>
      </c>
      <c r="J265" s="1704"/>
      <c r="K265" s="1153"/>
      <c r="L265" s="1153"/>
      <c r="M265" s="1154">
        <f t="shared" si="56"/>
        <v>0</v>
      </c>
      <c r="N265" s="1155">
        <f t="shared" si="57"/>
        <v>0</v>
      </c>
      <c r="O265" s="1155">
        <f t="shared" si="58"/>
        <v>0</v>
      </c>
      <c r="P265" s="1139"/>
    </row>
    <row r="266" spans="2:22" x14ac:dyDescent="0.2">
      <c r="B266" s="2583"/>
      <c r="C266" s="2659"/>
      <c r="D266" s="2622"/>
      <c r="E266" s="2622"/>
      <c r="F266" s="2623">
        <f t="shared" si="54"/>
        <v>0</v>
      </c>
      <c r="G266" s="2624"/>
      <c r="H266" s="2605"/>
      <c r="I266" s="2606">
        <f t="shared" si="55"/>
        <v>0</v>
      </c>
      <c r="J266" s="1704"/>
      <c r="K266" s="1153"/>
      <c r="L266" s="1153"/>
      <c r="M266" s="1154">
        <f t="shared" si="56"/>
        <v>0</v>
      </c>
      <c r="N266" s="1155">
        <f t="shared" si="57"/>
        <v>0</v>
      </c>
      <c r="O266" s="1155">
        <f t="shared" si="58"/>
        <v>0</v>
      </c>
      <c r="P266" s="1139"/>
    </row>
    <row r="267" spans="2:22" ht="13.5" thickBot="1" x14ac:dyDescent="0.25">
      <c r="B267" s="2583"/>
      <c r="C267" s="29"/>
      <c r="D267" s="2444"/>
      <c r="E267" s="2444"/>
      <c r="F267" s="2614">
        <f t="shared" si="54"/>
        <v>0</v>
      </c>
      <c r="G267" s="2443"/>
      <c r="H267" s="2601"/>
      <c r="I267" s="2602">
        <f t="shared" si="55"/>
        <v>0</v>
      </c>
      <c r="J267" s="1704"/>
      <c r="K267" s="1153"/>
      <c r="L267" s="1153"/>
      <c r="M267" s="1154">
        <f t="shared" si="56"/>
        <v>0</v>
      </c>
      <c r="N267" s="1155">
        <f t="shared" si="57"/>
        <v>0</v>
      </c>
      <c r="O267" s="1155">
        <f t="shared" si="58"/>
        <v>0</v>
      </c>
      <c r="P267" s="1139"/>
    </row>
    <row r="268" spans="2:22" ht="19.5" customHeight="1" thickBot="1" x14ac:dyDescent="0.25">
      <c r="B268" s="2584"/>
      <c r="C268" s="2650"/>
      <c r="D268" s="2651"/>
      <c r="E268" s="2651"/>
      <c r="F268" s="2652"/>
      <c r="G268" s="2643" t="s">
        <v>434</v>
      </c>
      <c r="H268" s="2632"/>
      <c r="I268" s="2639">
        <f>SUM(SUMIF(I253:I267,"&gt;0",I253:I267))</f>
        <v>0</v>
      </c>
      <c r="J268" s="1157"/>
      <c r="K268" s="1158" t="s">
        <v>125</v>
      </c>
      <c r="L268" s="1158"/>
      <c r="M268" s="1159">
        <f>SUM(M253:M267)</f>
        <v>0</v>
      </c>
      <c r="N268" s="1159">
        <f>SUM(N253:N267)</f>
        <v>0</v>
      </c>
      <c r="O268" s="1160">
        <f>SUM(O253:O267)</f>
        <v>0</v>
      </c>
      <c r="P268" s="1139"/>
    </row>
    <row r="269" spans="2:22" ht="19.5" customHeight="1" thickBot="1" x14ac:dyDescent="0.25">
      <c r="B269" s="2584"/>
      <c r="C269" s="1156"/>
      <c r="D269" s="345"/>
      <c r="E269" s="345"/>
      <c r="F269" s="2645"/>
      <c r="G269" s="2644" t="s">
        <v>126</v>
      </c>
      <c r="H269" s="2633"/>
      <c r="I269" s="2638">
        <f>IF(I251=0,0,I268/I251)</f>
        <v>0</v>
      </c>
      <c r="J269" s="1163"/>
      <c r="K269" s="1164" t="s">
        <v>127</v>
      </c>
      <c r="L269" s="1164"/>
      <c r="M269" s="1165" t="e">
        <f>M268/$I$251</f>
        <v>#DIV/0!</v>
      </c>
      <c r="N269" s="1165" t="e">
        <f>N268/$I$251</f>
        <v>#DIV/0!</v>
      </c>
      <c r="O269" s="1166" t="e">
        <f>O268/$I$251</f>
        <v>#DIV/0!</v>
      </c>
      <c r="P269" s="1139"/>
    </row>
    <row r="270" spans="2:22" ht="13.5" customHeight="1" x14ac:dyDescent="0.2">
      <c r="B270" s="2584"/>
      <c r="C270" s="1156"/>
      <c r="D270" s="345"/>
      <c r="E270" s="345"/>
      <c r="F270" s="345"/>
      <c r="G270" s="1177"/>
      <c r="H270" s="2634"/>
      <c r="I270" s="2634"/>
      <c r="J270" s="345"/>
      <c r="K270" s="345"/>
      <c r="L270" s="345"/>
      <c r="M270" s="345"/>
      <c r="N270" s="345"/>
      <c r="O270" s="345"/>
      <c r="P270" s="1139"/>
    </row>
    <row r="271" spans="2:22" s="1138" customFormat="1" ht="13.5" thickBot="1" x14ac:dyDescent="0.25">
      <c r="B271" s="2584"/>
      <c r="C271" s="2635" t="str">
        <f>IF(I272=0,"NÃO preencher o proximo quadro","OBRIGADO PREENCHER PROXIMO QUADRO")</f>
        <v>NÃO preencher o proximo quadro</v>
      </c>
      <c r="D271" s="1162"/>
      <c r="E271" s="1162"/>
      <c r="F271" s="1162"/>
      <c r="G271" s="1162"/>
      <c r="H271" s="1162"/>
      <c r="I271" s="1162"/>
      <c r="J271" s="345"/>
      <c r="K271" s="345"/>
      <c r="L271" s="345"/>
      <c r="M271" s="345"/>
      <c r="N271" s="345"/>
      <c r="O271" s="345"/>
      <c r="P271" s="1139"/>
      <c r="Q271" s="345"/>
      <c r="R271" s="345"/>
      <c r="S271" s="345"/>
      <c r="T271" s="345"/>
      <c r="U271" s="345"/>
      <c r="V271" s="345"/>
    </row>
    <row r="272" spans="2:22" ht="24.75" customHeight="1" thickBot="1" x14ac:dyDescent="0.25">
      <c r="B272" s="2584"/>
      <c r="C272" s="2627" t="s">
        <v>113</v>
      </c>
      <c r="D272" s="2597" t="str">
        <f>SOLO!G26</f>
        <v>sobressemeadura</v>
      </c>
      <c r="E272" s="2629"/>
      <c r="F272" s="2628"/>
      <c r="G272" s="2630" t="s">
        <v>114</v>
      </c>
      <c r="H272" s="2599"/>
      <c r="I272" s="2598">
        <f>SOLO!L26</f>
        <v>0</v>
      </c>
      <c r="J272" s="2915" t="s">
        <v>115</v>
      </c>
      <c r="K272" s="2916"/>
      <c r="L272" s="2917"/>
      <c r="M272" s="1167"/>
      <c r="N272" s="1167"/>
      <c r="O272" s="1168"/>
      <c r="P272" s="1139"/>
    </row>
    <row r="273" spans="2:16" ht="39" thickBot="1" x14ac:dyDescent="0.25">
      <c r="B273" s="2584"/>
      <c r="C273" s="2587" t="s">
        <v>116</v>
      </c>
      <c r="D273" s="2588" t="s">
        <v>772</v>
      </c>
      <c r="E273" s="2588" t="s">
        <v>770</v>
      </c>
      <c r="F273" s="2589" t="s">
        <v>432</v>
      </c>
      <c r="G273" s="2588" t="s">
        <v>771</v>
      </c>
      <c r="H273" s="2640"/>
      <c r="I273" s="2641" t="s">
        <v>118</v>
      </c>
      <c r="J273" s="1169" t="s">
        <v>119</v>
      </c>
      <c r="K273" s="1169" t="s">
        <v>120</v>
      </c>
      <c r="L273" s="1169" t="s">
        <v>121</v>
      </c>
      <c r="M273" s="1169" t="s">
        <v>122</v>
      </c>
      <c r="N273" s="1169" t="s">
        <v>128</v>
      </c>
      <c r="O273" s="1170" t="s">
        <v>129</v>
      </c>
      <c r="P273" s="1139"/>
    </row>
    <row r="274" spans="2:16" x14ac:dyDescent="0.2">
      <c r="B274" s="2582"/>
      <c r="C274" s="2594" t="s">
        <v>596</v>
      </c>
      <c r="D274" s="2698"/>
      <c r="E274" s="2699"/>
      <c r="F274" s="2613">
        <f t="shared" ref="F274:F288" si="59">E274*I$272</f>
        <v>0</v>
      </c>
      <c r="G274" s="2700"/>
      <c r="H274" s="2601"/>
      <c r="I274" s="2602">
        <f t="shared" ref="I274:I288" si="60">F274*G274</f>
        <v>0</v>
      </c>
      <c r="J274" s="1171"/>
      <c r="K274" s="1171"/>
      <c r="L274" s="1171"/>
      <c r="M274" s="1150">
        <f t="shared" ref="M274:M288" si="61">F274*J274/100</f>
        <v>0</v>
      </c>
      <c r="N274" s="1151">
        <f t="shared" ref="N274:N288" si="62">K274*F274/100</f>
        <v>0</v>
      </c>
      <c r="O274" s="1151">
        <f t="shared" ref="O274:O288" si="63">F274*L274/100</f>
        <v>0</v>
      </c>
      <c r="P274" s="1139"/>
    </row>
    <row r="275" spans="2:16" x14ac:dyDescent="0.2">
      <c r="B275" s="2583"/>
      <c r="C275" s="2586" t="s">
        <v>342</v>
      </c>
      <c r="D275" s="2698"/>
      <c r="E275" s="2444"/>
      <c r="F275" s="2614">
        <f t="shared" si="59"/>
        <v>0</v>
      </c>
      <c r="G275" s="2443"/>
      <c r="H275" s="2601"/>
      <c r="I275" s="2602">
        <f t="shared" si="60"/>
        <v>0</v>
      </c>
      <c r="J275" s="1152"/>
      <c r="K275" s="1152"/>
      <c r="L275" s="1152"/>
      <c r="M275" s="1150">
        <f t="shared" si="61"/>
        <v>0</v>
      </c>
      <c r="N275" s="1151">
        <f t="shared" si="62"/>
        <v>0</v>
      </c>
      <c r="O275" s="1151">
        <f t="shared" si="63"/>
        <v>0</v>
      </c>
      <c r="P275" s="1139"/>
    </row>
    <row r="276" spans="2:16" x14ac:dyDescent="0.2">
      <c r="B276" s="2583"/>
      <c r="C276" s="2586" t="s">
        <v>762</v>
      </c>
      <c r="D276" s="2698"/>
      <c r="E276" s="2444"/>
      <c r="F276" s="2614">
        <f t="shared" si="59"/>
        <v>0</v>
      </c>
      <c r="G276" s="2443"/>
      <c r="H276" s="2601"/>
      <c r="I276" s="2602">
        <f t="shared" si="60"/>
        <v>0</v>
      </c>
      <c r="J276" s="1152">
        <v>8</v>
      </c>
      <c r="K276" s="1152">
        <v>16</v>
      </c>
      <c r="L276" s="1152">
        <v>24</v>
      </c>
      <c r="M276" s="1150">
        <f t="shared" si="61"/>
        <v>0</v>
      </c>
      <c r="N276" s="1151">
        <f t="shared" si="62"/>
        <v>0</v>
      </c>
      <c r="O276" s="1151">
        <f t="shared" si="63"/>
        <v>0</v>
      </c>
      <c r="P276" s="1139"/>
    </row>
    <row r="277" spans="2:16" x14ac:dyDescent="0.2">
      <c r="B277" s="2583"/>
      <c r="C277" s="2595" t="s">
        <v>763</v>
      </c>
      <c r="D277" s="2698"/>
      <c r="E277" s="2444"/>
      <c r="F277" s="2614">
        <f t="shared" si="59"/>
        <v>0</v>
      </c>
      <c r="G277" s="2443"/>
      <c r="H277" s="2601"/>
      <c r="I277" s="2602">
        <f t="shared" si="60"/>
        <v>0</v>
      </c>
      <c r="J277" s="1152"/>
      <c r="K277" s="1152"/>
      <c r="L277" s="1152"/>
      <c r="M277" s="1150">
        <f t="shared" si="61"/>
        <v>0</v>
      </c>
      <c r="N277" s="1151">
        <f t="shared" si="62"/>
        <v>0</v>
      </c>
      <c r="O277" s="1151">
        <f t="shared" si="63"/>
        <v>0</v>
      </c>
      <c r="P277" s="1139"/>
    </row>
    <row r="278" spans="2:16" x14ac:dyDescent="0.2">
      <c r="B278" s="2583"/>
      <c r="C278" s="2586" t="s">
        <v>675</v>
      </c>
      <c r="D278" s="2698"/>
      <c r="E278" s="2444"/>
      <c r="F278" s="2614">
        <f t="shared" si="59"/>
        <v>0</v>
      </c>
      <c r="G278" s="2443"/>
      <c r="H278" s="2601"/>
      <c r="I278" s="2602">
        <f t="shared" si="60"/>
        <v>0</v>
      </c>
      <c r="J278" s="1152"/>
      <c r="K278" s="1152"/>
      <c r="L278" s="1152"/>
      <c r="M278" s="1150">
        <f t="shared" si="61"/>
        <v>0</v>
      </c>
      <c r="N278" s="1151">
        <f t="shared" si="62"/>
        <v>0</v>
      </c>
      <c r="O278" s="1151">
        <f t="shared" si="63"/>
        <v>0</v>
      </c>
      <c r="P278" s="1139"/>
    </row>
    <row r="279" spans="2:16" x14ac:dyDescent="0.2">
      <c r="B279" s="2583"/>
      <c r="C279" s="2586" t="s">
        <v>764</v>
      </c>
      <c r="D279" s="2444"/>
      <c r="E279" s="2444"/>
      <c r="F279" s="2614">
        <f t="shared" si="59"/>
        <v>0</v>
      </c>
      <c r="G279" s="2443"/>
      <c r="H279" s="2601"/>
      <c r="I279" s="2602">
        <f t="shared" si="60"/>
        <v>0</v>
      </c>
      <c r="J279" s="1152">
        <v>45</v>
      </c>
      <c r="K279" s="1152">
        <v>0</v>
      </c>
      <c r="L279" s="1152">
        <v>0</v>
      </c>
      <c r="M279" s="1150">
        <f t="shared" si="61"/>
        <v>0</v>
      </c>
      <c r="N279" s="1151">
        <f t="shared" si="62"/>
        <v>0</v>
      </c>
      <c r="O279" s="1151">
        <f t="shared" si="63"/>
        <v>0</v>
      </c>
      <c r="P279" s="1139"/>
    </row>
    <row r="280" spans="2:16" x14ac:dyDescent="0.2">
      <c r="B280" s="2583"/>
      <c r="C280" s="2586" t="s">
        <v>775</v>
      </c>
      <c r="D280" s="2444"/>
      <c r="E280" s="2444"/>
      <c r="F280" s="2614">
        <f t="shared" si="59"/>
        <v>0</v>
      </c>
      <c r="G280" s="2443"/>
      <c r="H280" s="2601"/>
      <c r="I280" s="2602">
        <f t="shared" si="60"/>
        <v>0</v>
      </c>
      <c r="J280" s="1152"/>
      <c r="K280" s="1152"/>
      <c r="L280" s="1152"/>
      <c r="M280" s="1150">
        <f t="shared" si="61"/>
        <v>0</v>
      </c>
      <c r="N280" s="1151">
        <f t="shared" si="62"/>
        <v>0</v>
      </c>
      <c r="O280" s="1151">
        <f t="shared" si="63"/>
        <v>0</v>
      </c>
      <c r="P280" s="1139"/>
    </row>
    <row r="281" spans="2:16" x14ac:dyDescent="0.2">
      <c r="B281" s="2583"/>
      <c r="C281" s="2586" t="s">
        <v>769</v>
      </c>
      <c r="D281" s="2444"/>
      <c r="E281" s="2444"/>
      <c r="F281" s="2614">
        <f t="shared" si="59"/>
        <v>0</v>
      </c>
      <c r="G281" s="2443"/>
      <c r="H281" s="2601"/>
      <c r="I281" s="2602">
        <f t="shared" si="60"/>
        <v>0</v>
      </c>
      <c r="J281" s="1152"/>
      <c r="K281" s="1152"/>
      <c r="L281" s="1152"/>
      <c r="M281" s="1150">
        <f t="shared" si="61"/>
        <v>0</v>
      </c>
      <c r="N281" s="1151">
        <f t="shared" si="62"/>
        <v>0</v>
      </c>
      <c r="O281" s="1151">
        <f t="shared" si="63"/>
        <v>0</v>
      </c>
      <c r="P281" s="1139"/>
    </row>
    <row r="282" spans="2:16" ht="13.5" thickBot="1" x14ac:dyDescent="0.25">
      <c r="B282" s="2583"/>
      <c r="C282" s="2586" t="s">
        <v>781</v>
      </c>
      <c r="D282" s="2444"/>
      <c r="E282" s="2444"/>
      <c r="F282" s="2614">
        <f t="shared" si="59"/>
        <v>0</v>
      </c>
      <c r="G282" s="2443"/>
      <c r="H282" s="2601"/>
      <c r="I282" s="2602">
        <f t="shared" si="60"/>
        <v>0</v>
      </c>
      <c r="J282" s="1152"/>
      <c r="K282" s="1152"/>
      <c r="L282" s="1152"/>
      <c r="M282" s="1150">
        <f t="shared" si="61"/>
        <v>0</v>
      </c>
      <c r="N282" s="1151">
        <f t="shared" si="62"/>
        <v>0</v>
      </c>
      <c r="O282" s="1151">
        <f t="shared" si="63"/>
        <v>0</v>
      </c>
      <c r="P282" s="1139"/>
    </row>
    <row r="283" spans="2:16" ht="13.5" thickBot="1" x14ac:dyDescent="0.25">
      <c r="B283" s="2583"/>
      <c r="C283" s="1892" t="s">
        <v>890</v>
      </c>
      <c r="D283" s="2631" t="s">
        <v>619</v>
      </c>
      <c r="E283" s="2631">
        <v>1</v>
      </c>
      <c r="F283" s="2618">
        <f t="shared" si="59"/>
        <v>0</v>
      </c>
      <c r="G283" s="2619">
        <f>F21</f>
        <v>0</v>
      </c>
      <c r="H283" s="2620"/>
      <c r="I283" s="2621">
        <f t="shared" si="60"/>
        <v>0</v>
      </c>
      <c r="J283" s="1174"/>
      <c r="K283" s="1153"/>
      <c r="L283" s="1153"/>
      <c r="M283" s="1154">
        <f t="shared" si="61"/>
        <v>0</v>
      </c>
      <c r="N283" s="1155">
        <f t="shared" si="62"/>
        <v>0</v>
      </c>
      <c r="O283" s="1155">
        <f t="shared" si="63"/>
        <v>0</v>
      </c>
      <c r="P283" s="1139"/>
    </row>
    <row r="284" spans="2:16" x14ac:dyDescent="0.2">
      <c r="B284" s="2583"/>
      <c r="C284" s="2659"/>
      <c r="D284" s="2622"/>
      <c r="E284" s="2622"/>
      <c r="F284" s="2623">
        <f t="shared" si="59"/>
        <v>0</v>
      </c>
      <c r="G284" s="2624"/>
      <c r="H284" s="2605"/>
      <c r="I284" s="2606">
        <f t="shared" si="60"/>
        <v>0</v>
      </c>
      <c r="J284" s="1704"/>
      <c r="K284" s="1153"/>
      <c r="L284" s="1153"/>
      <c r="M284" s="1154">
        <f t="shared" si="61"/>
        <v>0</v>
      </c>
      <c r="N284" s="1155">
        <f t="shared" si="62"/>
        <v>0</v>
      </c>
      <c r="O284" s="1155">
        <f t="shared" si="63"/>
        <v>0</v>
      </c>
      <c r="P284" s="1139"/>
    </row>
    <row r="285" spans="2:16" x14ac:dyDescent="0.2">
      <c r="B285" s="2583"/>
      <c r="C285" s="29"/>
      <c r="D285" s="2444"/>
      <c r="E285" s="2444"/>
      <c r="F285" s="2614">
        <f t="shared" si="59"/>
        <v>0</v>
      </c>
      <c r="G285" s="2443"/>
      <c r="H285" s="2601"/>
      <c r="I285" s="2602">
        <f t="shared" si="60"/>
        <v>0</v>
      </c>
      <c r="J285" s="1704"/>
      <c r="K285" s="1153"/>
      <c r="L285" s="1153"/>
      <c r="M285" s="1154">
        <f t="shared" si="61"/>
        <v>0</v>
      </c>
      <c r="N285" s="1155">
        <f t="shared" si="62"/>
        <v>0</v>
      </c>
      <c r="O285" s="1155">
        <f t="shared" si="63"/>
        <v>0</v>
      </c>
      <c r="P285" s="1139"/>
    </row>
    <row r="286" spans="2:16" x14ac:dyDescent="0.2">
      <c r="B286" s="2583"/>
      <c r="C286" s="2659"/>
      <c r="D286" s="2622"/>
      <c r="E286" s="2622"/>
      <c r="F286" s="2623">
        <f t="shared" si="59"/>
        <v>0</v>
      </c>
      <c r="G286" s="2624"/>
      <c r="H286" s="2605"/>
      <c r="I286" s="2606">
        <f t="shared" si="60"/>
        <v>0</v>
      </c>
      <c r="J286" s="1704"/>
      <c r="K286" s="1153"/>
      <c r="L286" s="1153"/>
      <c r="M286" s="1154">
        <f t="shared" si="61"/>
        <v>0</v>
      </c>
      <c r="N286" s="1155">
        <f t="shared" si="62"/>
        <v>0</v>
      </c>
      <c r="O286" s="1155">
        <f t="shared" si="63"/>
        <v>0</v>
      </c>
      <c r="P286" s="1139"/>
    </row>
    <row r="287" spans="2:16" x14ac:dyDescent="0.2">
      <c r="B287" s="2583"/>
      <c r="C287" s="29"/>
      <c r="D287" s="2444"/>
      <c r="E287" s="2444"/>
      <c r="F287" s="2614">
        <f t="shared" si="59"/>
        <v>0</v>
      </c>
      <c r="G287" s="2443"/>
      <c r="H287" s="2601"/>
      <c r="I287" s="2602">
        <f t="shared" si="60"/>
        <v>0</v>
      </c>
      <c r="J287" s="1704"/>
      <c r="K287" s="1153"/>
      <c r="L287" s="1153"/>
      <c r="M287" s="1154">
        <f t="shared" si="61"/>
        <v>0</v>
      </c>
      <c r="N287" s="1155">
        <f t="shared" si="62"/>
        <v>0</v>
      </c>
      <c r="O287" s="1155">
        <f t="shared" si="63"/>
        <v>0</v>
      </c>
      <c r="P287" s="1139"/>
    </row>
    <row r="288" spans="2:16" ht="13.5" thickBot="1" x14ac:dyDescent="0.25">
      <c r="B288" s="2583"/>
      <c r="C288" s="2659"/>
      <c r="D288" s="2622"/>
      <c r="E288" s="2622"/>
      <c r="F288" s="2623">
        <f t="shared" si="59"/>
        <v>0</v>
      </c>
      <c r="G288" s="2624"/>
      <c r="H288" s="2605"/>
      <c r="I288" s="2606">
        <f t="shared" si="60"/>
        <v>0</v>
      </c>
      <c r="J288" s="1704"/>
      <c r="K288" s="1153"/>
      <c r="L288" s="1153"/>
      <c r="M288" s="1154">
        <f t="shared" si="61"/>
        <v>0</v>
      </c>
      <c r="N288" s="1155">
        <f t="shared" si="62"/>
        <v>0</v>
      </c>
      <c r="O288" s="1155">
        <f t="shared" si="63"/>
        <v>0</v>
      </c>
      <c r="P288" s="1139"/>
    </row>
    <row r="289" spans="2:22" ht="19.5" customHeight="1" thickBot="1" x14ac:dyDescent="0.25">
      <c r="B289" s="2584"/>
      <c r="C289" s="2650"/>
      <c r="D289" s="2651"/>
      <c r="E289" s="2651"/>
      <c r="F289" s="2652"/>
      <c r="G289" s="2643" t="s">
        <v>434</v>
      </c>
      <c r="H289" s="2632"/>
      <c r="I289" s="2639">
        <f>SUM(SUMIF(I274:I288,"&gt;0",I274:I288))</f>
        <v>0</v>
      </c>
      <c r="J289" s="1157"/>
      <c r="K289" s="1158" t="s">
        <v>125</v>
      </c>
      <c r="L289" s="1158"/>
      <c r="M289" s="1159">
        <f>SUM(M274:M288)</f>
        <v>0</v>
      </c>
      <c r="N289" s="1159">
        <f>SUM(N274:N288)</f>
        <v>0</v>
      </c>
      <c r="O289" s="1160">
        <f>SUM(O274:O288)</f>
        <v>0</v>
      </c>
      <c r="P289" s="1139"/>
    </row>
    <row r="290" spans="2:22" ht="19.5" customHeight="1" thickBot="1" x14ac:dyDescent="0.25">
      <c r="B290" s="2584"/>
      <c r="C290" s="1156"/>
      <c r="D290" s="345"/>
      <c r="E290" s="345"/>
      <c r="F290" s="2645"/>
      <c r="G290" s="2647" t="s">
        <v>126</v>
      </c>
      <c r="H290" s="2656"/>
      <c r="I290" s="2657">
        <f>IF(I272=0,0,I289/I272)</f>
        <v>0</v>
      </c>
      <c r="J290" s="1163"/>
      <c r="K290" s="1164" t="s">
        <v>127</v>
      </c>
      <c r="L290" s="1164"/>
      <c r="M290" s="1165" t="e">
        <f>M289/$I$272</f>
        <v>#DIV/0!</v>
      </c>
      <c r="N290" s="1165" t="e">
        <f>N289/$I$272</f>
        <v>#DIV/0!</v>
      </c>
      <c r="O290" s="1166" t="e">
        <f>O289/$I$272</f>
        <v>#DIV/0!</v>
      </c>
      <c r="P290" s="1139"/>
    </row>
    <row r="291" spans="2:22" ht="13.5" customHeight="1" thickBot="1" x14ac:dyDescent="0.25">
      <c r="B291" s="2585"/>
      <c r="C291" s="1156"/>
      <c r="D291" s="345"/>
      <c r="E291" s="345"/>
      <c r="F291" s="345"/>
      <c r="G291" s="345"/>
      <c r="H291" s="345"/>
      <c r="I291" s="347"/>
      <c r="J291" s="345"/>
      <c r="K291" s="345"/>
      <c r="L291" s="345"/>
      <c r="M291" s="1140"/>
      <c r="N291" s="1140"/>
      <c r="O291" s="1140"/>
      <c r="P291" s="1139"/>
    </row>
    <row r="292" spans="2:22" s="1138" customFormat="1" ht="13.5" thickBot="1" x14ac:dyDescent="0.25">
      <c r="B292" s="2584"/>
      <c r="C292" s="2600" t="str">
        <f>IF(I293=0,"NÃO preencher o proximo quadro","OBRIGADO PREENCHER PROXIMO QUADRO")</f>
        <v>NÃO preencher o proximo quadro</v>
      </c>
      <c r="D292" s="345"/>
      <c r="E292" s="345"/>
      <c r="F292" s="345"/>
      <c r="G292" s="345"/>
      <c r="H292" s="345"/>
      <c r="I292" s="345"/>
      <c r="J292" s="1167"/>
      <c r="K292" s="1167"/>
      <c r="L292" s="1167"/>
      <c r="M292" s="1167"/>
      <c r="N292" s="1167"/>
      <c r="O292" s="1168"/>
      <c r="P292" s="1139"/>
      <c r="Q292" s="345"/>
      <c r="R292" s="345"/>
      <c r="S292" s="345"/>
      <c r="T292" s="345"/>
      <c r="U292" s="345"/>
      <c r="V292" s="345"/>
    </row>
    <row r="293" spans="2:22" ht="24.75" customHeight="1" thickBot="1" x14ac:dyDescent="0.25">
      <c r="B293" s="2584"/>
      <c r="C293" s="2627" t="s">
        <v>113</v>
      </c>
      <c r="D293" s="2597">
        <f>SOLO!G27</f>
        <v>0</v>
      </c>
      <c r="E293" s="2629"/>
      <c r="F293" s="2628"/>
      <c r="G293" s="2630" t="s">
        <v>114</v>
      </c>
      <c r="H293" s="2599"/>
      <c r="I293" s="2598">
        <f>SOLO!K27</f>
        <v>0</v>
      </c>
      <c r="J293" s="2915" t="s">
        <v>115</v>
      </c>
      <c r="K293" s="2916"/>
      <c r="L293" s="2917"/>
      <c r="M293" s="1167"/>
      <c r="N293" s="1167"/>
      <c r="O293" s="1168"/>
      <c r="P293" s="1139"/>
    </row>
    <row r="294" spans="2:22" ht="39" thickBot="1" x14ac:dyDescent="0.25">
      <c r="B294" s="2584"/>
      <c r="C294" s="2587" t="s">
        <v>116</v>
      </c>
      <c r="D294" s="2588" t="s">
        <v>772</v>
      </c>
      <c r="E294" s="2588" t="s">
        <v>770</v>
      </c>
      <c r="F294" s="2589" t="s">
        <v>432</v>
      </c>
      <c r="G294" s="2588" t="s">
        <v>771</v>
      </c>
      <c r="H294" s="2640"/>
      <c r="I294" s="2641" t="s">
        <v>118</v>
      </c>
      <c r="J294" s="1169" t="s">
        <v>119</v>
      </c>
      <c r="K294" s="1169" t="s">
        <v>120</v>
      </c>
      <c r="L294" s="1169" t="s">
        <v>121</v>
      </c>
      <c r="M294" s="1169" t="s">
        <v>122</v>
      </c>
      <c r="N294" s="1169" t="s">
        <v>128</v>
      </c>
      <c r="O294" s="1170" t="s">
        <v>129</v>
      </c>
      <c r="P294" s="1139"/>
    </row>
    <row r="295" spans="2:22" x14ac:dyDescent="0.2">
      <c r="B295" s="2582"/>
      <c r="C295" s="2594" t="s">
        <v>596</v>
      </c>
      <c r="D295" s="2698"/>
      <c r="E295" s="2699"/>
      <c r="F295" s="2613">
        <f t="shared" ref="F295:F309" si="64">E295*I$293</f>
        <v>0</v>
      </c>
      <c r="G295" s="2700"/>
      <c r="H295" s="2601"/>
      <c r="I295" s="2602">
        <f t="shared" ref="I295:I309" si="65">F295*G295</f>
        <v>0</v>
      </c>
      <c r="J295" s="1171"/>
      <c r="K295" s="1171"/>
      <c r="L295" s="1171"/>
      <c r="M295" s="1150">
        <f t="shared" ref="M295:M309" si="66">F295*J295/100</f>
        <v>0</v>
      </c>
      <c r="N295" s="1151">
        <f t="shared" ref="N295:N309" si="67">K295*F295/100</f>
        <v>0</v>
      </c>
      <c r="O295" s="1151">
        <f t="shared" ref="O295:O309" si="68">F295*L295/100</f>
        <v>0</v>
      </c>
      <c r="P295" s="1139"/>
    </row>
    <row r="296" spans="2:22" x14ac:dyDescent="0.2">
      <c r="B296" s="2583"/>
      <c r="C296" s="2586" t="s">
        <v>342</v>
      </c>
      <c r="D296" s="2698"/>
      <c r="E296" s="2444"/>
      <c r="F296" s="2614">
        <f t="shared" si="64"/>
        <v>0</v>
      </c>
      <c r="G296" s="2443"/>
      <c r="H296" s="2601"/>
      <c r="I296" s="2602">
        <f t="shared" si="65"/>
        <v>0</v>
      </c>
      <c r="J296" s="1152"/>
      <c r="K296" s="1152"/>
      <c r="L296" s="1152"/>
      <c r="M296" s="1150">
        <f t="shared" si="66"/>
        <v>0</v>
      </c>
      <c r="N296" s="1151">
        <f t="shared" si="67"/>
        <v>0</v>
      </c>
      <c r="O296" s="1151">
        <f t="shared" si="68"/>
        <v>0</v>
      </c>
      <c r="P296" s="1139"/>
    </row>
    <row r="297" spans="2:22" x14ac:dyDescent="0.2">
      <c r="B297" s="2583"/>
      <c r="C297" s="2586" t="s">
        <v>762</v>
      </c>
      <c r="D297" s="2698"/>
      <c r="E297" s="2444"/>
      <c r="F297" s="2614">
        <f t="shared" si="64"/>
        <v>0</v>
      </c>
      <c r="G297" s="2443"/>
      <c r="H297" s="2601"/>
      <c r="I297" s="2602">
        <f t="shared" si="65"/>
        <v>0</v>
      </c>
      <c r="J297" s="1152">
        <v>5</v>
      </c>
      <c r="K297" s="1152">
        <v>20</v>
      </c>
      <c r="L297" s="1152">
        <v>20</v>
      </c>
      <c r="M297" s="1150">
        <f t="shared" si="66"/>
        <v>0</v>
      </c>
      <c r="N297" s="1151">
        <f t="shared" si="67"/>
        <v>0</v>
      </c>
      <c r="O297" s="1151">
        <f t="shared" si="68"/>
        <v>0</v>
      </c>
      <c r="P297" s="1139"/>
    </row>
    <row r="298" spans="2:22" x14ac:dyDescent="0.2">
      <c r="B298" s="2583"/>
      <c r="C298" s="2595" t="s">
        <v>763</v>
      </c>
      <c r="D298" s="2698"/>
      <c r="E298" s="2444"/>
      <c r="F298" s="2614">
        <f t="shared" si="64"/>
        <v>0</v>
      </c>
      <c r="G298" s="2443"/>
      <c r="H298" s="2601"/>
      <c r="I298" s="2602">
        <f t="shared" si="65"/>
        <v>0</v>
      </c>
      <c r="J298" s="1152"/>
      <c r="K298" s="1152"/>
      <c r="L298" s="1152"/>
      <c r="M298" s="1150">
        <f t="shared" si="66"/>
        <v>0</v>
      </c>
      <c r="N298" s="1151">
        <f t="shared" si="67"/>
        <v>0</v>
      </c>
      <c r="O298" s="1151">
        <f t="shared" si="68"/>
        <v>0</v>
      </c>
      <c r="P298" s="1139"/>
    </row>
    <row r="299" spans="2:22" x14ac:dyDescent="0.2">
      <c r="B299" s="2583"/>
      <c r="C299" s="2586" t="s">
        <v>675</v>
      </c>
      <c r="D299" s="2698"/>
      <c r="E299" s="2444"/>
      <c r="F299" s="2614">
        <f t="shared" si="64"/>
        <v>0</v>
      </c>
      <c r="G299" s="2443"/>
      <c r="H299" s="2601"/>
      <c r="I299" s="2602">
        <f t="shared" si="65"/>
        <v>0</v>
      </c>
      <c r="J299" s="1152">
        <v>45</v>
      </c>
      <c r="K299" s="1152">
        <v>0</v>
      </c>
      <c r="L299" s="1152">
        <v>0</v>
      </c>
      <c r="M299" s="1150">
        <f t="shared" si="66"/>
        <v>0</v>
      </c>
      <c r="N299" s="1151">
        <f t="shared" si="67"/>
        <v>0</v>
      </c>
      <c r="O299" s="1151">
        <f t="shared" si="68"/>
        <v>0</v>
      </c>
      <c r="P299" s="1139"/>
    </row>
    <row r="300" spans="2:22" x14ac:dyDescent="0.2">
      <c r="B300" s="2583"/>
      <c r="C300" s="2586" t="s">
        <v>764</v>
      </c>
      <c r="D300" s="2444"/>
      <c r="E300" s="2444"/>
      <c r="F300" s="2614">
        <f t="shared" si="64"/>
        <v>0</v>
      </c>
      <c r="G300" s="2443"/>
      <c r="H300" s="2601"/>
      <c r="I300" s="2602">
        <f t="shared" si="65"/>
        <v>0</v>
      </c>
      <c r="J300" s="1152"/>
      <c r="K300" s="1152"/>
      <c r="L300" s="1152"/>
      <c r="M300" s="1150">
        <f t="shared" si="66"/>
        <v>0</v>
      </c>
      <c r="N300" s="1151">
        <f t="shared" si="67"/>
        <v>0</v>
      </c>
      <c r="O300" s="1151">
        <f t="shared" si="68"/>
        <v>0</v>
      </c>
      <c r="P300" s="1139"/>
    </row>
    <row r="301" spans="2:22" x14ac:dyDescent="0.2">
      <c r="B301" s="2583"/>
      <c r="C301" s="2586" t="s">
        <v>775</v>
      </c>
      <c r="D301" s="2444"/>
      <c r="E301" s="2444"/>
      <c r="F301" s="2614">
        <f t="shared" si="64"/>
        <v>0</v>
      </c>
      <c r="G301" s="2443"/>
      <c r="H301" s="2601"/>
      <c r="I301" s="2602">
        <f t="shared" si="65"/>
        <v>0</v>
      </c>
      <c r="J301" s="1152"/>
      <c r="K301" s="1152"/>
      <c r="L301" s="1152"/>
      <c r="M301" s="1150">
        <f t="shared" si="66"/>
        <v>0</v>
      </c>
      <c r="N301" s="1151">
        <f t="shared" si="67"/>
        <v>0</v>
      </c>
      <c r="O301" s="1151">
        <f t="shared" si="68"/>
        <v>0</v>
      </c>
      <c r="P301" s="1139"/>
    </row>
    <row r="302" spans="2:22" x14ac:dyDescent="0.2">
      <c r="B302" s="2583"/>
      <c r="C302" s="2586" t="s">
        <v>769</v>
      </c>
      <c r="D302" s="2444"/>
      <c r="E302" s="2444"/>
      <c r="F302" s="2614">
        <f t="shared" si="64"/>
        <v>0</v>
      </c>
      <c r="G302" s="2443"/>
      <c r="H302" s="2601"/>
      <c r="I302" s="2602">
        <f t="shared" si="65"/>
        <v>0</v>
      </c>
      <c r="J302" s="1152"/>
      <c r="K302" s="1152"/>
      <c r="L302" s="1152"/>
      <c r="M302" s="1150">
        <f t="shared" si="66"/>
        <v>0</v>
      </c>
      <c r="N302" s="1151">
        <f t="shared" si="67"/>
        <v>0</v>
      </c>
      <c r="O302" s="1151">
        <f t="shared" si="68"/>
        <v>0</v>
      </c>
      <c r="P302" s="1139"/>
    </row>
    <row r="303" spans="2:22" ht="13.5" thickBot="1" x14ac:dyDescent="0.25">
      <c r="B303" s="2583"/>
      <c r="C303" s="2586" t="s">
        <v>781</v>
      </c>
      <c r="D303" s="2444"/>
      <c r="E303" s="2444"/>
      <c r="F303" s="2614">
        <f t="shared" si="64"/>
        <v>0</v>
      </c>
      <c r="G303" s="2443"/>
      <c r="H303" s="2601"/>
      <c r="I303" s="2602">
        <f t="shared" si="65"/>
        <v>0</v>
      </c>
      <c r="J303" s="1152"/>
      <c r="K303" s="1152"/>
      <c r="L303" s="1152"/>
      <c r="M303" s="1150">
        <f t="shared" si="66"/>
        <v>0</v>
      </c>
      <c r="N303" s="1151">
        <f t="shared" si="67"/>
        <v>0</v>
      </c>
      <c r="O303" s="1151">
        <f t="shared" si="68"/>
        <v>0</v>
      </c>
      <c r="P303" s="1139"/>
    </row>
    <row r="304" spans="2:22" ht="13.5" thickBot="1" x14ac:dyDescent="0.25">
      <c r="B304" s="2583"/>
      <c r="C304" s="1892" t="s">
        <v>890</v>
      </c>
      <c r="D304" s="2631" t="s">
        <v>619</v>
      </c>
      <c r="E304" s="2631">
        <v>1</v>
      </c>
      <c r="F304" s="2618">
        <f t="shared" si="64"/>
        <v>0</v>
      </c>
      <c r="G304" s="2619">
        <f>F22</f>
        <v>0</v>
      </c>
      <c r="H304" s="2620"/>
      <c r="I304" s="2621">
        <f t="shared" si="65"/>
        <v>0</v>
      </c>
      <c r="J304" s="1174"/>
      <c r="K304" s="1153"/>
      <c r="L304" s="1153"/>
      <c r="M304" s="1154">
        <f t="shared" si="66"/>
        <v>0</v>
      </c>
      <c r="N304" s="1155">
        <f t="shared" si="67"/>
        <v>0</v>
      </c>
      <c r="O304" s="1155">
        <f t="shared" si="68"/>
        <v>0</v>
      </c>
      <c r="P304" s="1139"/>
    </row>
    <row r="305" spans="2:22" x14ac:dyDescent="0.2">
      <c r="B305" s="2583"/>
      <c r="C305" s="2659"/>
      <c r="D305" s="2622"/>
      <c r="E305" s="2622"/>
      <c r="F305" s="2623">
        <f t="shared" si="64"/>
        <v>0</v>
      </c>
      <c r="G305" s="2624"/>
      <c r="H305" s="2605"/>
      <c r="I305" s="2606">
        <f t="shared" si="65"/>
        <v>0</v>
      </c>
      <c r="J305" s="1704"/>
      <c r="K305" s="1153"/>
      <c r="L305" s="1153"/>
      <c r="M305" s="1154">
        <f t="shared" si="66"/>
        <v>0</v>
      </c>
      <c r="N305" s="1155">
        <f t="shared" si="67"/>
        <v>0</v>
      </c>
      <c r="O305" s="1155">
        <f t="shared" si="68"/>
        <v>0</v>
      </c>
      <c r="P305" s="1139"/>
    </row>
    <row r="306" spans="2:22" x14ac:dyDescent="0.2">
      <c r="B306" s="2583"/>
      <c r="C306" s="29"/>
      <c r="D306" s="2444"/>
      <c r="E306" s="2444"/>
      <c r="F306" s="2614">
        <f t="shared" si="64"/>
        <v>0</v>
      </c>
      <c r="G306" s="2443"/>
      <c r="H306" s="2601"/>
      <c r="I306" s="2602">
        <f t="shared" si="65"/>
        <v>0</v>
      </c>
      <c r="J306" s="1704"/>
      <c r="K306" s="1153"/>
      <c r="L306" s="1153"/>
      <c r="M306" s="1154">
        <f t="shared" si="66"/>
        <v>0</v>
      </c>
      <c r="N306" s="1155">
        <f t="shared" si="67"/>
        <v>0</v>
      </c>
      <c r="O306" s="1155">
        <f t="shared" si="68"/>
        <v>0</v>
      </c>
      <c r="P306" s="1139"/>
    </row>
    <row r="307" spans="2:22" x14ac:dyDescent="0.2">
      <c r="B307" s="2583"/>
      <c r="C307" s="2659"/>
      <c r="D307" s="2622"/>
      <c r="E307" s="2622"/>
      <c r="F307" s="2623">
        <f t="shared" si="64"/>
        <v>0</v>
      </c>
      <c r="G307" s="2624"/>
      <c r="H307" s="2605"/>
      <c r="I307" s="2606">
        <f t="shared" si="65"/>
        <v>0</v>
      </c>
      <c r="J307" s="1704"/>
      <c r="K307" s="1153"/>
      <c r="L307" s="1153"/>
      <c r="M307" s="1154">
        <f t="shared" si="66"/>
        <v>0</v>
      </c>
      <c r="N307" s="1155">
        <f t="shared" si="67"/>
        <v>0</v>
      </c>
      <c r="O307" s="1155">
        <f t="shared" si="68"/>
        <v>0</v>
      </c>
      <c r="P307" s="1139"/>
    </row>
    <row r="308" spans="2:22" x14ac:dyDescent="0.2">
      <c r="B308" s="2583"/>
      <c r="C308" s="29"/>
      <c r="D308" s="2444"/>
      <c r="E308" s="2444"/>
      <c r="F308" s="2614">
        <f t="shared" si="64"/>
        <v>0</v>
      </c>
      <c r="G308" s="2443"/>
      <c r="H308" s="2601"/>
      <c r="I308" s="2602">
        <f t="shared" si="65"/>
        <v>0</v>
      </c>
      <c r="J308" s="1704"/>
      <c r="K308" s="1153"/>
      <c r="L308" s="1153"/>
      <c r="M308" s="1154">
        <f t="shared" si="66"/>
        <v>0</v>
      </c>
      <c r="N308" s="1155">
        <f t="shared" si="67"/>
        <v>0</v>
      </c>
      <c r="O308" s="1155">
        <f t="shared" si="68"/>
        <v>0</v>
      </c>
      <c r="P308" s="1139"/>
    </row>
    <row r="309" spans="2:22" ht="13.5" thickBot="1" x14ac:dyDescent="0.25">
      <c r="B309" s="2583"/>
      <c r="C309" s="2659"/>
      <c r="D309" s="2622"/>
      <c r="E309" s="2622"/>
      <c r="F309" s="2623">
        <f t="shared" si="64"/>
        <v>0</v>
      </c>
      <c r="G309" s="2624"/>
      <c r="H309" s="2605"/>
      <c r="I309" s="2606">
        <f t="shared" si="65"/>
        <v>0</v>
      </c>
      <c r="J309" s="1704"/>
      <c r="K309" s="1153"/>
      <c r="L309" s="1153"/>
      <c r="M309" s="1154">
        <f t="shared" si="66"/>
        <v>0</v>
      </c>
      <c r="N309" s="1155">
        <f t="shared" si="67"/>
        <v>0</v>
      </c>
      <c r="O309" s="1155">
        <f t="shared" si="68"/>
        <v>0</v>
      </c>
      <c r="P309" s="1139"/>
    </row>
    <row r="310" spans="2:22" ht="19.5" customHeight="1" thickBot="1" x14ac:dyDescent="0.25">
      <c r="B310" s="2584"/>
      <c r="C310" s="2650"/>
      <c r="D310" s="2651"/>
      <c r="E310" s="2651"/>
      <c r="F310" s="2652"/>
      <c r="G310" s="2643" t="s">
        <v>60</v>
      </c>
      <c r="H310" s="2632"/>
      <c r="I310" s="2639">
        <f>SUM(SUMIF(I295:I309,"&gt;0",I295:I309))</f>
        <v>0</v>
      </c>
      <c r="J310" s="1157"/>
      <c r="K310" s="1158" t="s">
        <v>125</v>
      </c>
      <c r="L310" s="1158"/>
      <c r="M310" s="1159">
        <f>SUM(M295:M309)</f>
        <v>0</v>
      </c>
      <c r="N310" s="1159">
        <f>SUM(N295:N309)</f>
        <v>0</v>
      </c>
      <c r="O310" s="1160">
        <f>SUM(O295:O309)</f>
        <v>0</v>
      </c>
      <c r="P310" s="1139"/>
    </row>
    <row r="311" spans="2:22" ht="19.5" customHeight="1" thickBot="1" x14ac:dyDescent="0.25">
      <c r="B311" s="2584"/>
      <c r="C311" s="1156"/>
      <c r="D311" s="345"/>
      <c r="E311" s="345"/>
      <c r="F311" s="2645"/>
      <c r="G311" s="2647" t="s">
        <v>126</v>
      </c>
      <c r="H311" s="2656"/>
      <c r="I311" s="2657">
        <f>IF(I293=0,0,I310/I293)</f>
        <v>0</v>
      </c>
      <c r="J311" s="1163"/>
      <c r="K311" s="1164" t="s">
        <v>127</v>
      </c>
      <c r="L311" s="1164"/>
      <c r="M311" s="1165" t="e">
        <f>M310/$I$293</f>
        <v>#DIV/0!</v>
      </c>
      <c r="N311" s="1165" t="e">
        <f>N310/$I$293</f>
        <v>#DIV/0!</v>
      </c>
      <c r="O311" s="1166" t="e">
        <f>O310/$I$293</f>
        <v>#DIV/0!</v>
      </c>
      <c r="P311" s="1139"/>
    </row>
    <row r="312" spans="2:22" s="1138" customFormat="1" ht="9" customHeight="1" x14ac:dyDescent="0.2">
      <c r="B312" s="2584"/>
      <c r="C312" s="1156"/>
      <c r="D312" s="345"/>
      <c r="E312" s="345"/>
      <c r="F312" s="345"/>
      <c r="G312" s="345"/>
      <c r="H312" s="345"/>
      <c r="I312" s="345"/>
      <c r="J312" s="345"/>
      <c r="K312" s="345"/>
      <c r="L312" s="345"/>
      <c r="M312" s="345"/>
      <c r="N312" s="345"/>
      <c r="O312" s="345"/>
      <c r="P312" s="1139"/>
      <c r="Q312" s="345"/>
      <c r="R312" s="345"/>
      <c r="S312" s="345"/>
      <c r="T312" s="345"/>
      <c r="U312" s="345"/>
      <c r="V312" s="345"/>
    </row>
    <row r="313" spans="2:22" s="1138" customFormat="1" ht="7.5" customHeight="1" x14ac:dyDescent="0.2">
      <c r="B313" s="2584"/>
      <c r="C313" s="1156"/>
      <c r="D313" s="345"/>
      <c r="E313" s="345"/>
      <c r="F313" s="345"/>
      <c r="G313" s="345"/>
      <c r="H313" s="345"/>
      <c r="I313" s="345"/>
      <c r="J313" s="345"/>
      <c r="K313" s="345"/>
      <c r="L313" s="345"/>
      <c r="M313" s="345"/>
      <c r="N313" s="345"/>
      <c r="O313" s="345"/>
      <c r="P313" s="1139"/>
      <c r="Q313" s="345"/>
      <c r="R313" s="345"/>
      <c r="S313" s="345"/>
      <c r="T313" s="345"/>
      <c r="U313" s="345"/>
      <c r="V313" s="345"/>
    </row>
    <row r="314" spans="2:22" s="1138" customFormat="1" ht="6" customHeight="1" x14ac:dyDescent="0.2">
      <c r="B314" s="2584"/>
      <c r="C314" s="1156"/>
      <c r="D314" s="345"/>
      <c r="E314" s="345"/>
      <c r="F314" s="345"/>
      <c r="G314" s="345"/>
      <c r="H314" s="345"/>
      <c r="I314" s="345"/>
      <c r="J314" s="345"/>
      <c r="K314" s="345"/>
      <c r="L314" s="345"/>
      <c r="M314" s="345"/>
      <c r="N314" s="345"/>
      <c r="O314" s="345"/>
      <c r="P314" s="1139"/>
      <c r="Q314" s="345"/>
      <c r="R314" s="345"/>
      <c r="S314" s="345"/>
      <c r="T314" s="345"/>
      <c r="U314" s="345"/>
      <c r="V314" s="345"/>
    </row>
    <row r="315" spans="2:22" s="1138" customFormat="1" ht="3.75" customHeight="1" thickBot="1" x14ac:dyDescent="0.25">
      <c r="B315" s="2584"/>
      <c r="C315" s="2600" t="str">
        <f>IF(I316=0,"NÃO preencher o proximo quadro","OBRIGADO PREENCHER PROXIMO QUADRO")</f>
        <v>NÃO preencher o proximo quadro</v>
      </c>
      <c r="D315" s="345"/>
      <c r="E315" s="345"/>
      <c r="F315" s="345"/>
      <c r="G315" s="345"/>
      <c r="H315" s="345"/>
      <c r="I315" s="345"/>
      <c r="J315" s="345"/>
      <c r="K315" s="345"/>
      <c r="L315" s="345"/>
      <c r="M315" s="345"/>
      <c r="N315" s="345"/>
      <c r="O315" s="345"/>
      <c r="P315" s="1139"/>
      <c r="Q315" s="345"/>
      <c r="R315" s="345"/>
      <c r="S315" s="345"/>
      <c r="T315" s="345"/>
      <c r="U315" s="345"/>
      <c r="V315" s="345"/>
    </row>
    <row r="316" spans="2:22" ht="24.75" customHeight="1" thickBot="1" x14ac:dyDescent="0.25">
      <c r="B316" s="2584"/>
      <c r="C316" s="2627" t="s">
        <v>113</v>
      </c>
      <c r="D316" s="2597">
        <f>SOLO!G28</f>
        <v>0</v>
      </c>
      <c r="E316" s="2629"/>
      <c r="F316" s="2628"/>
      <c r="G316" s="2630" t="s">
        <v>114</v>
      </c>
      <c r="H316" s="2599"/>
      <c r="I316" s="2598">
        <f>SOLO!K28</f>
        <v>0</v>
      </c>
      <c r="J316" s="2915" t="s">
        <v>115</v>
      </c>
      <c r="K316" s="2916"/>
      <c r="L316" s="2917"/>
      <c r="M316" s="1167"/>
      <c r="N316" s="1167"/>
      <c r="O316" s="1168"/>
      <c r="P316" s="1139"/>
    </row>
    <row r="317" spans="2:22" ht="39" thickBot="1" x14ac:dyDescent="0.25">
      <c r="B317" s="2584"/>
      <c r="C317" s="2587" t="s">
        <v>116</v>
      </c>
      <c r="D317" s="2588" t="s">
        <v>772</v>
      </c>
      <c r="E317" s="2588" t="s">
        <v>770</v>
      </c>
      <c r="F317" s="2589" t="s">
        <v>432</v>
      </c>
      <c r="G317" s="2588" t="s">
        <v>771</v>
      </c>
      <c r="H317" s="2640"/>
      <c r="I317" s="2641" t="s">
        <v>118</v>
      </c>
      <c r="J317" s="1169" t="s">
        <v>119</v>
      </c>
      <c r="K317" s="1169" t="s">
        <v>120</v>
      </c>
      <c r="L317" s="1169" t="s">
        <v>121</v>
      </c>
      <c r="M317" s="1169" t="s">
        <v>122</v>
      </c>
      <c r="N317" s="1169" t="s">
        <v>128</v>
      </c>
      <c r="O317" s="1170" t="s">
        <v>129</v>
      </c>
      <c r="P317" s="1139"/>
    </row>
    <row r="318" spans="2:22" x14ac:dyDescent="0.2">
      <c r="B318" s="2582"/>
      <c r="C318" s="2594" t="s">
        <v>596</v>
      </c>
      <c r="D318" s="2698"/>
      <c r="E318" s="2699"/>
      <c r="F318" s="2613">
        <f t="shared" ref="F318:F332" si="69">E318*I$316</f>
        <v>0</v>
      </c>
      <c r="G318" s="2700"/>
      <c r="H318" s="2601"/>
      <c r="I318" s="2602">
        <f t="shared" ref="I318:I332" si="70">F318*G318</f>
        <v>0</v>
      </c>
      <c r="J318" s="1171"/>
      <c r="K318" s="1171"/>
      <c r="L318" s="1171"/>
      <c r="M318" s="1150">
        <f t="shared" ref="M318:M332" si="71">F318*J318/100</f>
        <v>0</v>
      </c>
      <c r="N318" s="1151">
        <f t="shared" ref="N318:N332" si="72">K318*F318/100</f>
        <v>0</v>
      </c>
      <c r="O318" s="1151">
        <f t="shared" ref="O318:O332" si="73">F318*L318/100</f>
        <v>0</v>
      </c>
      <c r="P318" s="1139"/>
    </row>
    <row r="319" spans="2:22" x14ac:dyDescent="0.2">
      <c r="B319" s="2583"/>
      <c r="C319" s="2586" t="s">
        <v>342</v>
      </c>
      <c r="D319" s="2698"/>
      <c r="E319" s="2444"/>
      <c r="F319" s="2614">
        <f t="shared" si="69"/>
        <v>0</v>
      </c>
      <c r="G319" s="2443"/>
      <c r="H319" s="2601"/>
      <c r="I319" s="2602">
        <f t="shared" si="70"/>
        <v>0</v>
      </c>
      <c r="J319" s="1152"/>
      <c r="K319" s="1152"/>
      <c r="L319" s="1152"/>
      <c r="M319" s="1150">
        <f t="shared" si="71"/>
        <v>0</v>
      </c>
      <c r="N319" s="1151">
        <f t="shared" si="72"/>
        <v>0</v>
      </c>
      <c r="O319" s="1151">
        <f t="shared" si="73"/>
        <v>0</v>
      </c>
      <c r="P319" s="1139"/>
    </row>
    <row r="320" spans="2:22" x14ac:dyDescent="0.2">
      <c r="B320" s="2583"/>
      <c r="C320" s="2586" t="s">
        <v>762</v>
      </c>
      <c r="D320" s="2698"/>
      <c r="E320" s="2444"/>
      <c r="F320" s="2614">
        <f t="shared" si="69"/>
        <v>0</v>
      </c>
      <c r="G320" s="2443"/>
      <c r="H320" s="2601"/>
      <c r="I320" s="2602">
        <f t="shared" si="70"/>
        <v>0</v>
      </c>
      <c r="J320" s="1152"/>
      <c r="K320" s="1152"/>
      <c r="L320" s="1152"/>
      <c r="M320" s="1150">
        <f t="shared" si="71"/>
        <v>0</v>
      </c>
      <c r="N320" s="1151">
        <f t="shared" si="72"/>
        <v>0</v>
      </c>
      <c r="O320" s="1151">
        <f t="shared" si="73"/>
        <v>0</v>
      </c>
      <c r="P320" s="1139"/>
    </row>
    <row r="321" spans="2:22" x14ac:dyDescent="0.2">
      <c r="B321" s="2583"/>
      <c r="C321" s="2595" t="s">
        <v>763</v>
      </c>
      <c r="D321" s="2698"/>
      <c r="E321" s="2444"/>
      <c r="F321" s="2614">
        <f t="shared" si="69"/>
        <v>0</v>
      </c>
      <c r="G321" s="2443"/>
      <c r="H321" s="2601"/>
      <c r="I321" s="2602">
        <f t="shared" si="70"/>
        <v>0</v>
      </c>
      <c r="J321" s="1152"/>
      <c r="K321" s="1152"/>
      <c r="L321" s="1152"/>
      <c r="M321" s="1150">
        <f t="shared" si="71"/>
        <v>0</v>
      </c>
      <c r="N321" s="1151">
        <f t="shared" si="72"/>
        <v>0</v>
      </c>
      <c r="O321" s="1151">
        <f t="shared" si="73"/>
        <v>0</v>
      </c>
      <c r="P321" s="1139"/>
    </row>
    <row r="322" spans="2:22" x14ac:dyDescent="0.2">
      <c r="B322" s="2583"/>
      <c r="C322" s="2586" t="s">
        <v>675</v>
      </c>
      <c r="D322" s="2698"/>
      <c r="E322" s="2444"/>
      <c r="F322" s="2614">
        <f t="shared" si="69"/>
        <v>0</v>
      </c>
      <c r="G322" s="2443"/>
      <c r="H322" s="2601"/>
      <c r="I322" s="2602">
        <f t="shared" si="70"/>
        <v>0</v>
      </c>
      <c r="J322" s="1152"/>
      <c r="K322" s="1152"/>
      <c r="L322" s="1152"/>
      <c r="M322" s="1150">
        <f t="shared" si="71"/>
        <v>0</v>
      </c>
      <c r="N322" s="1151">
        <f t="shared" si="72"/>
        <v>0</v>
      </c>
      <c r="O322" s="1151">
        <f t="shared" si="73"/>
        <v>0</v>
      </c>
      <c r="P322" s="1139"/>
    </row>
    <row r="323" spans="2:22" x14ac:dyDescent="0.2">
      <c r="B323" s="2583"/>
      <c r="C323" s="2586" t="s">
        <v>764</v>
      </c>
      <c r="D323" s="2444"/>
      <c r="E323" s="2444"/>
      <c r="F323" s="2614">
        <f t="shared" si="69"/>
        <v>0</v>
      </c>
      <c r="G323" s="2443"/>
      <c r="H323" s="2601"/>
      <c r="I323" s="2602">
        <f t="shared" si="70"/>
        <v>0</v>
      </c>
      <c r="J323" s="1152"/>
      <c r="K323" s="1152"/>
      <c r="L323" s="1152"/>
      <c r="M323" s="1150">
        <f t="shared" si="71"/>
        <v>0</v>
      </c>
      <c r="N323" s="1151">
        <f t="shared" si="72"/>
        <v>0</v>
      </c>
      <c r="O323" s="1151">
        <f t="shared" si="73"/>
        <v>0</v>
      </c>
      <c r="P323" s="1139"/>
    </row>
    <row r="324" spans="2:22" x14ac:dyDescent="0.2">
      <c r="B324" s="2583"/>
      <c r="C324" s="2586" t="s">
        <v>775</v>
      </c>
      <c r="D324" s="2444"/>
      <c r="E324" s="2444"/>
      <c r="F324" s="2614">
        <f t="shared" si="69"/>
        <v>0</v>
      </c>
      <c r="G324" s="2443"/>
      <c r="H324" s="2601"/>
      <c r="I324" s="2602">
        <f t="shared" si="70"/>
        <v>0</v>
      </c>
      <c r="J324" s="1152"/>
      <c r="K324" s="1152"/>
      <c r="L324" s="1152"/>
      <c r="M324" s="1150">
        <f t="shared" si="71"/>
        <v>0</v>
      </c>
      <c r="N324" s="1151">
        <f t="shared" si="72"/>
        <v>0</v>
      </c>
      <c r="O324" s="1151">
        <f t="shared" si="73"/>
        <v>0</v>
      </c>
      <c r="P324" s="1139"/>
    </row>
    <row r="325" spans="2:22" x14ac:dyDescent="0.2">
      <c r="B325" s="2583"/>
      <c r="C325" s="2586" t="s">
        <v>769</v>
      </c>
      <c r="D325" s="2444"/>
      <c r="E325" s="2444"/>
      <c r="F325" s="2614">
        <f t="shared" si="69"/>
        <v>0</v>
      </c>
      <c r="G325" s="2443"/>
      <c r="H325" s="2601"/>
      <c r="I325" s="2602">
        <f t="shared" si="70"/>
        <v>0</v>
      </c>
      <c r="J325" s="1152"/>
      <c r="K325" s="1152"/>
      <c r="L325" s="1152"/>
      <c r="M325" s="1150">
        <f t="shared" si="71"/>
        <v>0</v>
      </c>
      <c r="N325" s="1151">
        <f t="shared" si="72"/>
        <v>0</v>
      </c>
      <c r="O325" s="1151">
        <f t="shared" si="73"/>
        <v>0</v>
      </c>
      <c r="P325" s="1139"/>
    </row>
    <row r="326" spans="2:22" ht="13.5" thickBot="1" x14ac:dyDescent="0.25">
      <c r="B326" s="2583"/>
      <c r="C326" s="2586" t="s">
        <v>781</v>
      </c>
      <c r="D326" s="2444"/>
      <c r="E326" s="2444"/>
      <c r="F326" s="2614">
        <f t="shared" si="69"/>
        <v>0</v>
      </c>
      <c r="G326" s="2443"/>
      <c r="H326" s="2601"/>
      <c r="I326" s="2602">
        <f t="shared" si="70"/>
        <v>0</v>
      </c>
      <c r="J326" s="1152"/>
      <c r="K326" s="1152"/>
      <c r="L326" s="1152"/>
      <c r="M326" s="1150">
        <f t="shared" si="71"/>
        <v>0</v>
      </c>
      <c r="N326" s="1151">
        <f t="shared" si="72"/>
        <v>0</v>
      </c>
      <c r="O326" s="1151">
        <f t="shared" si="73"/>
        <v>0</v>
      </c>
      <c r="P326" s="1139"/>
    </row>
    <row r="327" spans="2:22" ht="13.5" thickBot="1" x14ac:dyDescent="0.25">
      <c r="B327" s="2583"/>
      <c r="C327" s="1892" t="s">
        <v>890</v>
      </c>
      <c r="D327" s="2631" t="s">
        <v>619</v>
      </c>
      <c r="E327" s="2631">
        <v>1</v>
      </c>
      <c r="F327" s="2618">
        <f t="shared" si="69"/>
        <v>0</v>
      </c>
      <c r="G327" s="2619">
        <f>F23</f>
        <v>0</v>
      </c>
      <c r="H327" s="2620"/>
      <c r="I327" s="2621">
        <f t="shared" si="70"/>
        <v>0</v>
      </c>
      <c r="J327" s="1174"/>
      <c r="K327" s="1153"/>
      <c r="L327" s="1153"/>
      <c r="M327" s="1154">
        <f t="shared" si="71"/>
        <v>0</v>
      </c>
      <c r="N327" s="1155">
        <f t="shared" si="72"/>
        <v>0</v>
      </c>
      <c r="O327" s="1155">
        <f t="shared" si="73"/>
        <v>0</v>
      </c>
      <c r="P327" s="1139"/>
    </row>
    <row r="328" spans="2:22" x14ac:dyDescent="0.2">
      <c r="B328" s="2583"/>
      <c r="C328" s="2659"/>
      <c r="D328" s="2622"/>
      <c r="E328" s="2622"/>
      <c r="F328" s="2623">
        <f t="shared" si="69"/>
        <v>0</v>
      </c>
      <c r="G328" s="2624"/>
      <c r="H328" s="2605"/>
      <c r="I328" s="2606">
        <f t="shared" si="70"/>
        <v>0</v>
      </c>
      <c r="J328" s="1704"/>
      <c r="K328" s="1153"/>
      <c r="L328" s="1153"/>
      <c r="M328" s="1154">
        <f t="shared" si="71"/>
        <v>0</v>
      </c>
      <c r="N328" s="1155">
        <f t="shared" si="72"/>
        <v>0</v>
      </c>
      <c r="O328" s="1155">
        <f t="shared" si="73"/>
        <v>0</v>
      </c>
      <c r="P328" s="1139"/>
    </row>
    <row r="329" spans="2:22" x14ac:dyDescent="0.2">
      <c r="B329" s="2583"/>
      <c r="C329" s="29"/>
      <c r="D329" s="2444"/>
      <c r="E329" s="2444"/>
      <c r="F329" s="2614">
        <f t="shared" si="69"/>
        <v>0</v>
      </c>
      <c r="G329" s="2443"/>
      <c r="H329" s="2601"/>
      <c r="I329" s="2602">
        <f t="shared" si="70"/>
        <v>0</v>
      </c>
      <c r="J329" s="1704"/>
      <c r="K329" s="1153"/>
      <c r="L329" s="1153"/>
      <c r="M329" s="1154">
        <f t="shared" si="71"/>
        <v>0</v>
      </c>
      <c r="N329" s="1155">
        <f t="shared" si="72"/>
        <v>0</v>
      </c>
      <c r="O329" s="1155">
        <f t="shared" si="73"/>
        <v>0</v>
      </c>
      <c r="P329" s="1139"/>
    </row>
    <row r="330" spans="2:22" x14ac:dyDescent="0.2">
      <c r="B330" s="2583"/>
      <c r="C330" s="2659"/>
      <c r="D330" s="2622"/>
      <c r="E330" s="2622"/>
      <c r="F330" s="2623">
        <f t="shared" si="69"/>
        <v>0</v>
      </c>
      <c r="G330" s="2624"/>
      <c r="H330" s="2605"/>
      <c r="I330" s="2606">
        <f t="shared" si="70"/>
        <v>0</v>
      </c>
      <c r="J330" s="1704"/>
      <c r="K330" s="1153"/>
      <c r="L330" s="1153"/>
      <c r="M330" s="1154">
        <f t="shared" si="71"/>
        <v>0</v>
      </c>
      <c r="N330" s="1155">
        <f t="shared" si="72"/>
        <v>0</v>
      </c>
      <c r="O330" s="1155">
        <f t="shared" si="73"/>
        <v>0</v>
      </c>
      <c r="P330" s="1139"/>
    </row>
    <row r="331" spans="2:22" x14ac:dyDescent="0.2">
      <c r="B331" s="2583"/>
      <c r="C331" s="29"/>
      <c r="D331" s="2444"/>
      <c r="E331" s="2444"/>
      <c r="F331" s="2614">
        <f t="shared" si="69"/>
        <v>0</v>
      </c>
      <c r="G331" s="2443"/>
      <c r="H331" s="2601"/>
      <c r="I331" s="2602">
        <f t="shared" si="70"/>
        <v>0</v>
      </c>
      <c r="J331" s="1704"/>
      <c r="K331" s="1153"/>
      <c r="L331" s="1153"/>
      <c r="M331" s="1154">
        <f t="shared" si="71"/>
        <v>0</v>
      </c>
      <c r="N331" s="1155">
        <f t="shared" si="72"/>
        <v>0</v>
      </c>
      <c r="O331" s="1155">
        <f t="shared" si="73"/>
        <v>0</v>
      </c>
      <c r="P331" s="1139"/>
    </row>
    <row r="332" spans="2:22" ht="13.5" thickBot="1" x14ac:dyDescent="0.25">
      <c r="B332" s="2583"/>
      <c r="C332" s="2659"/>
      <c r="D332" s="2622"/>
      <c r="E332" s="2622"/>
      <c r="F332" s="2623">
        <f t="shared" si="69"/>
        <v>0</v>
      </c>
      <c r="G332" s="2624"/>
      <c r="H332" s="2605"/>
      <c r="I332" s="2606">
        <f t="shared" si="70"/>
        <v>0</v>
      </c>
      <c r="J332" s="1704"/>
      <c r="K332" s="1153"/>
      <c r="L332" s="1153"/>
      <c r="M332" s="1154">
        <f t="shared" si="71"/>
        <v>0</v>
      </c>
      <c r="N332" s="1155">
        <f t="shared" si="72"/>
        <v>0</v>
      </c>
      <c r="O332" s="1155">
        <f t="shared" si="73"/>
        <v>0</v>
      </c>
      <c r="P332" s="1139"/>
    </row>
    <row r="333" spans="2:22" ht="19.5" customHeight="1" thickBot="1" x14ac:dyDescent="0.25">
      <c r="B333" s="2584"/>
      <c r="C333" s="2650"/>
      <c r="D333" s="2651"/>
      <c r="E333" s="2651"/>
      <c r="F333" s="2652"/>
      <c r="G333" s="2643" t="s">
        <v>434</v>
      </c>
      <c r="H333" s="2632"/>
      <c r="I333" s="2639">
        <f>SUM(SUMIF(I318:I332,"&gt;0",I318:I332))</f>
        <v>0</v>
      </c>
      <c r="J333" s="1157"/>
      <c r="K333" s="1158" t="s">
        <v>125</v>
      </c>
      <c r="L333" s="1158"/>
      <c r="M333" s="1159">
        <f>SUM(M318:M332)</f>
        <v>0</v>
      </c>
      <c r="N333" s="1159">
        <f>SUM(N318:N332)</f>
        <v>0</v>
      </c>
      <c r="O333" s="1160">
        <f>SUM(O318:O332)</f>
        <v>0</v>
      </c>
      <c r="P333" s="1139"/>
    </row>
    <row r="334" spans="2:22" ht="19.5" customHeight="1" thickBot="1" x14ac:dyDescent="0.25">
      <c r="B334" s="2584"/>
      <c r="C334" s="1156"/>
      <c r="D334" s="345"/>
      <c r="E334" s="345"/>
      <c r="F334" s="2645"/>
      <c r="G334" s="2647" t="s">
        <v>126</v>
      </c>
      <c r="H334" s="2656"/>
      <c r="I334" s="2657">
        <f>IF(I316=0,0,I333/I316)</f>
        <v>0</v>
      </c>
      <c r="J334" s="1163"/>
      <c r="K334" s="1164" t="s">
        <v>127</v>
      </c>
      <c r="L334" s="1164"/>
      <c r="M334" s="1165" t="e">
        <f>M333/$I$316</f>
        <v>#DIV/0!</v>
      </c>
      <c r="N334" s="1165" t="e">
        <f>N333/$I$316</f>
        <v>#DIV/0!</v>
      </c>
      <c r="O334" s="1166" t="e">
        <f>O333/$I$316</f>
        <v>#DIV/0!</v>
      </c>
      <c r="P334" s="1139"/>
    </row>
    <row r="335" spans="2:22" x14ac:dyDescent="0.2">
      <c r="B335" s="2584"/>
      <c r="C335" s="1156"/>
      <c r="D335" s="345"/>
      <c r="E335" s="345"/>
      <c r="F335" s="345"/>
      <c r="G335" s="345"/>
      <c r="H335" s="345"/>
      <c r="I335" s="1175"/>
      <c r="J335" s="345"/>
      <c r="K335" s="345"/>
      <c r="L335" s="345"/>
      <c r="M335" s="1140"/>
      <c r="N335" s="1140"/>
      <c r="O335" s="1140"/>
      <c r="P335" s="1139"/>
    </row>
    <row r="336" spans="2:22" s="1138" customFormat="1" ht="13.5" thickBot="1" x14ac:dyDescent="0.25">
      <c r="B336" s="2584"/>
      <c r="C336" s="2600" t="str">
        <f>IF(I337=0,"NÃO preencher o proximo quadro","OBRIGADO PREENCHER PROXIMO QUADRO")</f>
        <v>NÃO preencher o proximo quadro</v>
      </c>
      <c r="D336" s="345"/>
      <c r="E336" s="345"/>
      <c r="F336" s="345"/>
      <c r="G336" s="345"/>
      <c r="H336" s="345"/>
      <c r="I336" s="345"/>
      <c r="J336" s="345"/>
      <c r="K336" s="345"/>
      <c r="L336" s="345"/>
      <c r="M336" s="345"/>
      <c r="N336" s="345"/>
      <c r="O336" s="345"/>
      <c r="P336" s="1139"/>
      <c r="Q336" s="345"/>
      <c r="R336" s="345"/>
      <c r="S336" s="345"/>
      <c r="T336" s="345"/>
      <c r="U336" s="345"/>
      <c r="V336" s="345"/>
    </row>
    <row r="337" spans="2:16" ht="24.75" customHeight="1" thickBot="1" x14ac:dyDescent="0.25">
      <c r="B337" s="2584"/>
      <c r="C337" s="2627" t="s">
        <v>113</v>
      </c>
      <c r="D337" s="2597">
        <f>SOLO!G30</f>
        <v>0</v>
      </c>
      <c r="E337" s="2629"/>
      <c r="F337" s="2628"/>
      <c r="G337" s="2630" t="s">
        <v>114</v>
      </c>
      <c r="H337" s="2599"/>
      <c r="I337" s="2598">
        <f>SOLO!I30+SOLO!J30</f>
        <v>0</v>
      </c>
      <c r="J337" s="2915" t="s">
        <v>115</v>
      </c>
      <c r="K337" s="2916"/>
      <c r="L337" s="2917"/>
      <c r="M337" s="1167"/>
      <c r="N337" s="1167"/>
      <c r="O337" s="1168"/>
      <c r="P337" s="1139"/>
    </row>
    <row r="338" spans="2:16" ht="39" thickBot="1" x14ac:dyDescent="0.25">
      <c r="B338" s="2584"/>
      <c r="C338" s="2587" t="s">
        <v>116</v>
      </c>
      <c r="D338" s="2588" t="s">
        <v>772</v>
      </c>
      <c r="E338" s="2588" t="s">
        <v>770</v>
      </c>
      <c r="F338" s="2589" t="s">
        <v>432</v>
      </c>
      <c r="G338" s="2588" t="s">
        <v>771</v>
      </c>
      <c r="H338" s="2640"/>
      <c r="I338" s="2641" t="s">
        <v>118</v>
      </c>
      <c r="J338" s="1169" t="s">
        <v>119</v>
      </c>
      <c r="K338" s="1169" t="s">
        <v>120</v>
      </c>
      <c r="L338" s="1169" t="s">
        <v>121</v>
      </c>
      <c r="M338" s="1169" t="s">
        <v>122</v>
      </c>
      <c r="N338" s="1169" t="s">
        <v>128</v>
      </c>
      <c r="O338" s="1170" t="s">
        <v>129</v>
      </c>
      <c r="P338" s="1139"/>
    </row>
    <row r="339" spans="2:16" x14ac:dyDescent="0.2">
      <c r="B339" s="2582">
        <v>1</v>
      </c>
      <c r="C339" s="2594" t="s">
        <v>596</v>
      </c>
      <c r="D339" s="2698"/>
      <c r="E339" s="2699"/>
      <c r="F339" s="2613">
        <f t="shared" ref="F339:F357" si="74">E339*I$337</f>
        <v>0</v>
      </c>
      <c r="G339" s="2700"/>
      <c r="H339" s="2601"/>
      <c r="I339" s="2602">
        <f t="shared" ref="I339:I357" si="75">F339*G339</f>
        <v>0</v>
      </c>
      <c r="J339" s="1171"/>
      <c r="K339" s="1171"/>
      <c r="L339" s="1171"/>
      <c r="M339" s="1150">
        <f t="shared" ref="M339:M353" si="76">F339*J339/100</f>
        <v>0</v>
      </c>
      <c r="N339" s="1151">
        <f t="shared" ref="N339:N353" si="77">K339*F339/100</f>
        <v>0</v>
      </c>
      <c r="O339" s="1151">
        <f t="shared" ref="O339:O353" si="78">F339*L339/100</f>
        <v>0</v>
      </c>
      <c r="P339" s="1139"/>
    </row>
    <row r="340" spans="2:16" x14ac:dyDescent="0.2">
      <c r="B340" s="2583">
        <f>B339+1</f>
        <v>2</v>
      </c>
      <c r="C340" s="2586" t="s">
        <v>342</v>
      </c>
      <c r="D340" s="2698"/>
      <c r="E340" s="2444"/>
      <c r="F340" s="2614">
        <f t="shared" si="74"/>
        <v>0</v>
      </c>
      <c r="G340" s="2443"/>
      <c r="H340" s="2601"/>
      <c r="I340" s="2602">
        <f t="shared" si="75"/>
        <v>0</v>
      </c>
      <c r="J340" s="1152"/>
      <c r="K340" s="1152"/>
      <c r="L340" s="1152"/>
      <c r="M340" s="1150">
        <f t="shared" si="76"/>
        <v>0</v>
      </c>
      <c r="N340" s="1151">
        <f t="shared" si="77"/>
        <v>0</v>
      </c>
      <c r="O340" s="1151">
        <f t="shared" si="78"/>
        <v>0</v>
      </c>
      <c r="P340" s="1139"/>
    </row>
    <row r="341" spans="2:16" x14ac:dyDescent="0.2">
      <c r="B341" s="2583">
        <f t="shared" ref="B341:B353" si="79">B340+1</f>
        <v>3</v>
      </c>
      <c r="C341" s="2586" t="s">
        <v>762</v>
      </c>
      <c r="D341" s="2698"/>
      <c r="E341" s="2444"/>
      <c r="F341" s="2614">
        <f t="shared" si="74"/>
        <v>0</v>
      </c>
      <c r="G341" s="2443"/>
      <c r="H341" s="2601"/>
      <c r="I341" s="2602">
        <f t="shared" si="75"/>
        <v>0</v>
      </c>
      <c r="J341" s="1152">
        <v>8</v>
      </c>
      <c r="K341" s="1152">
        <v>16</v>
      </c>
      <c r="L341" s="1152">
        <v>24</v>
      </c>
      <c r="M341" s="1150">
        <f t="shared" si="76"/>
        <v>0</v>
      </c>
      <c r="N341" s="1151">
        <f t="shared" si="77"/>
        <v>0</v>
      </c>
      <c r="O341" s="1151">
        <f t="shared" si="78"/>
        <v>0</v>
      </c>
      <c r="P341" s="1139"/>
    </row>
    <row r="342" spans="2:16" x14ac:dyDescent="0.2">
      <c r="B342" s="2583">
        <f t="shared" si="79"/>
        <v>4</v>
      </c>
      <c r="C342" s="2595" t="s">
        <v>763</v>
      </c>
      <c r="D342" s="2698"/>
      <c r="E342" s="2444"/>
      <c r="F342" s="2614">
        <f t="shared" si="74"/>
        <v>0</v>
      </c>
      <c r="G342" s="2443"/>
      <c r="H342" s="2601"/>
      <c r="I342" s="2602">
        <f t="shared" si="75"/>
        <v>0</v>
      </c>
      <c r="J342" s="1152">
        <v>45</v>
      </c>
      <c r="K342" s="1152">
        <v>0</v>
      </c>
      <c r="L342" s="1152">
        <v>0</v>
      </c>
      <c r="M342" s="1150">
        <f t="shared" si="76"/>
        <v>0</v>
      </c>
      <c r="N342" s="1151">
        <f t="shared" si="77"/>
        <v>0</v>
      </c>
      <c r="O342" s="1151">
        <f t="shared" si="78"/>
        <v>0</v>
      </c>
      <c r="P342" s="1139"/>
    </row>
    <row r="343" spans="2:16" x14ac:dyDescent="0.2">
      <c r="B343" s="2583">
        <f t="shared" si="79"/>
        <v>5</v>
      </c>
      <c r="C343" s="2586" t="s">
        <v>675</v>
      </c>
      <c r="D343" s="2698"/>
      <c r="E343" s="2444"/>
      <c r="F343" s="2614">
        <f t="shared" si="74"/>
        <v>0</v>
      </c>
      <c r="G343" s="2443"/>
      <c r="H343" s="2601"/>
      <c r="I343" s="2602">
        <f t="shared" si="75"/>
        <v>0</v>
      </c>
      <c r="J343" s="1152"/>
      <c r="K343" s="1152"/>
      <c r="L343" s="1152"/>
      <c r="M343" s="1150">
        <f t="shared" si="76"/>
        <v>0</v>
      </c>
      <c r="N343" s="1151">
        <f t="shared" si="77"/>
        <v>0</v>
      </c>
      <c r="O343" s="1151">
        <f t="shared" si="78"/>
        <v>0</v>
      </c>
      <c r="P343" s="1139"/>
    </row>
    <row r="344" spans="2:16" x14ac:dyDescent="0.2">
      <c r="B344" s="2583">
        <f t="shared" si="79"/>
        <v>6</v>
      </c>
      <c r="C344" s="2586" t="s">
        <v>764</v>
      </c>
      <c r="D344" s="2444"/>
      <c r="E344" s="2444"/>
      <c r="F344" s="2614">
        <f t="shared" si="74"/>
        <v>0</v>
      </c>
      <c r="G344" s="2443"/>
      <c r="H344" s="2601"/>
      <c r="I344" s="2602">
        <f t="shared" si="75"/>
        <v>0</v>
      </c>
      <c r="J344" s="1152"/>
      <c r="K344" s="1152"/>
      <c r="L344" s="1152"/>
      <c r="M344" s="1150">
        <f t="shared" si="76"/>
        <v>0</v>
      </c>
      <c r="N344" s="1151">
        <f t="shared" si="77"/>
        <v>0</v>
      </c>
      <c r="O344" s="1151">
        <f t="shared" si="78"/>
        <v>0</v>
      </c>
      <c r="P344" s="1139"/>
    </row>
    <row r="345" spans="2:16" x14ac:dyDescent="0.2">
      <c r="B345" s="2583">
        <f t="shared" si="79"/>
        <v>7</v>
      </c>
      <c r="C345" s="2586" t="s">
        <v>765</v>
      </c>
      <c r="D345" s="2444"/>
      <c r="E345" s="2444"/>
      <c r="F345" s="2614">
        <f t="shared" si="74"/>
        <v>0</v>
      </c>
      <c r="G345" s="2443"/>
      <c r="H345" s="2601"/>
      <c r="I345" s="2602">
        <f t="shared" si="75"/>
        <v>0</v>
      </c>
      <c r="J345" s="1152"/>
      <c r="K345" s="1152"/>
      <c r="L345" s="1152"/>
      <c r="M345" s="1150">
        <f t="shared" si="76"/>
        <v>0</v>
      </c>
      <c r="N345" s="1151">
        <f t="shared" si="77"/>
        <v>0</v>
      </c>
      <c r="O345" s="1151">
        <f t="shared" si="78"/>
        <v>0</v>
      </c>
      <c r="P345" s="1139"/>
    </row>
    <row r="346" spans="2:16" x14ac:dyDescent="0.2">
      <c r="B346" s="2583">
        <f t="shared" si="79"/>
        <v>8</v>
      </c>
      <c r="C346" s="2586" t="s">
        <v>766</v>
      </c>
      <c r="D346" s="2444"/>
      <c r="E346" s="2444"/>
      <c r="F346" s="2614">
        <f t="shared" si="74"/>
        <v>0</v>
      </c>
      <c r="G346" s="2443"/>
      <c r="H346" s="2601"/>
      <c r="I346" s="2602">
        <f t="shared" si="75"/>
        <v>0</v>
      </c>
      <c r="J346" s="1152"/>
      <c r="K346" s="1152"/>
      <c r="L346" s="1152"/>
      <c r="M346" s="1150">
        <f t="shared" si="76"/>
        <v>0</v>
      </c>
      <c r="N346" s="1151">
        <f t="shared" si="77"/>
        <v>0</v>
      </c>
      <c r="O346" s="1151">
        <f t="shared" si="78"/>
        <v>0</v>
      </c>
      <c r="P346" s="1139"/>
    </row>
    <row r="347" spans="2:16" x14ac:dyDescent="0.2">
      <c r="B347" s="2583">
        <f t="shared" si="79"/>
        <v>9</v>
      </c>
      <c r="C347" s="2586" t="s">
        <v>767</v>
      </c>
      <c r="D347" s="2444"/>
      <c r="E347" s="2444"/>
      <c r="F347" s="2614">
        <f t="shared" si="74"/>
        <v>0</v>
      </c>
      <c r="G347" s="2443"/>
      <c r="H347" s="2601"/>
      <c r="I347" s="2602">
        <f t="shared" si="75"/>
        <v>0</v>
      </c>
      <c r="J347" s="1152"/>
      <c r="K347" s="1152"/>
      <c r="L347" s="1152"/>
      <c r="M347" s="1150">
        <f t="shared" si="76"/>
        <v>0</v>
      </c>
      <c r="N347" s="1151">
        <f t="shared" si="77"/>
        <v>0</v>
      </c>
      <c r="O347" s="1151">
        <f t="shared" si="78"/>
        <v>0</v>
      </c>
      <c r="P347" s="1139"/>
    </row>
    <row r="348" spans="2:16" x14ac:dyDescent="0.2">
      <c r="B348" s="2583">
        <f t="shared" si="79"/>
        <v>10</v>
      </c>
      <c r="C348" s="2586" t="s">
        <v>768</v>
      </c>
      <c r="D348" s="2444"/>
      <c r="E348" s="2444"/>
      <c r="F348" s="2614">
        <f t="shared" si="74"/>
        <v>0</v>
      </c>
      <c r="G348" s="2443"/>
      <c r="H348" s="2601"/>
      <c r="I348" s="2602">
        <f t="shared" si="75"/>
        <v>0</v>
      </c>
      <c r="J348" s="1152"/>
      <c r="K348" s="1152"/>
      <c r="L348" s="1152"/>
      <c r="M348" s="1150">
        <f t="shared" si="76"/>
        <v>0</v>
      </c>
      <c r="N348" s="1151">
        <f t="shared" si="77"/>
        <v>0</v>
      </c>
      <c r="O348" s="1151">
        <f t="shared" si="78"/>
        <v>0</v>
      </c>
      <c r="P348" s="1139"/>
    </row>
    <row r="349" spans="2:16" x14ac:dyDescent="0.2">
      <c r="B349" s="2583">
        <f t="shared" si="79"/>
        <v>11</v>
      </c>
      <c r="C349" s="2586" t="s">
        <v>774</v>
      </c>
      <c r="D349" s="2444"/>
      <c r="E349" s="2444"/>
      <c r="F349" s="2614">
        <f t="shared" si="74"/>
        <v>0</v>
      </c>
      <c r="G349" s="2443"/>
      <c r="H349" s="2601"/>
      <c r="I349" s="2602">
        <f t="shared" si="75"/>
        <v>0</v>
      </c>
      <c r="J349" s="1152"/>
      <c r="K349" s="1152"/>
      <c r="L349" s="1152"/>
      <c r="M349" s="1150">
        <f t="shared" si="76"/>
        <v>0</v>
      </c>
      <c r="N349" s="1151">
        <f t="shared" si="77"/>
        <v>0</v>
      </c>
      <c r="O349" s="1151">
        <f t="shared" si="78"/>
        <v>0</v>
      </c>
      <c r="P349" s="1139"/>
    </row>
    <row r="350" spans="2:16" x14ac:dyDescent="0.2">
      <c r="B350" s="2583">
        <f t="shared" si="79"/>
        <v>12</v>
      </c>
      <c r="C350" s="2586" t="s">
        <v>775</v>
      </c>
      <c r="D350" s="2444"/>
      <c r="E350" s="2444"/>
      <c r="F350" s="2614">
        <f t="shared" si="74"/>
        <v>0</v>
      </c>
      <c r="G350" s="2443"/>
      <c r="H350" s="2601"/>
      <c r="I350" s="2602">
        <f t="shared" si="75"/>
        <v>0</v>
      </c>
      <c r="J350" s="1152"/>
      <c r="K350" s="1152"/>
      <c r="L350" s="1152"/>
      <c r="M350" s="1150">
        <f t="shared" si="76"/>
        <v>0</v>
      </c>
      <c r="N350" s="1151">
        <f t="shared" si="77"/>
        <v>0</v>
      </c>
      <c r="O350" s="1151">
        <f t="shared" si="78"/>
        <v>0</v>
      </c>
      <c r="P350" s="1139"/>
    </row>
    <row r="351" spans="2:16" x14ac:dyDescent="0.2">
      <c r="B351" s="2583">
        <f t="shared" si="79"/>
        <v>13</v>
      </c>
      <c r="C351" s="2586" t="s">
        <v>776</v>
      </c>
      <c r="D351" s="2444"/>
      <c r="E351" s="2444"/>
      <c r="F351" s="2614">
        <f t="shared" si="74"/>
        <v>0</v>
      </c>
      <c r="G351" s="2443"/>
      <c r="H351" s="2601"/>
      <c r="I351" s="2602">
        <f t="shared" si="75"/>
        <v>0</v>
      </c>
      <c r="J351" s="1152"/>
      <c r="K351" s="1152"/>
      <c r="L351" s="1152"/>
      <c r="M351" s="1150">
        <f t="shared" si="76"/>
        <v>0</v>
      </c>
      <c r="N351" s="1151">
        <f t="shared" si="77"/>
        <v>0</v>
      </c>
      <c r="O351" s="1151">
        <f t="shared" si="78"/>
        <v>0</v>
      </c>
      <c r="P351" s="1139"/>
    </row>
    <row r="352" spans="2:16" x14ac:dyDescent="0.2">
      <c r="B352" s="2583">
        <f t="shared" si="79"/>
        <v>14</v>
      </c>
      <c r="C352" s="2586" t="s">
        <v>777</v>
      </c>
      <c r="D352" s="2444"/>
      <c r="E352" s="2444"/>
      <c r="F352" s="2614">
        <f t="shared" si="74"/>
        <v>0</v>
      </c>
      <c r="G352" s="2443"/>
      <c r="H352" s="2601"/>
      <c r="I352" s="2602">
        <f t="shared" si="75"/>
        <v>0</v>
      </c>
      <c r="J352" s="1152"/>
      <c r="K352" s="1152"/>
      <c r="L352" s="1152"/>
      <c r="M352" s="1150">
        <f t="shared" si="76"/>
        <v>0</v>
      </c>
      <c r="N352" s="1151">
        <f t="shared" si="77"/>
        <v>0</v>
      </c>
      <c r="O352" s="1151">
        <f t="shared" si="78"/>
        <v>0</v>
      </c>
      <c r="P352" s="1139"/>
    </row>
    <row r="353" spans="2:22" x14ac:dyDescent="0.2">
      <c r="B353" s="2583">
        <f t="shared" si="79"/>
        <v>15</v>
      </c>
      <c r="C353" s="2586" t="s">
        <v>778</v>
      </c>
      <c r="D353" s="2444"/>
      <c r="E353" s="2444"/>
      <c r="F353" s="2614">
        <f t="shared" si="74"/>
        <v>0</v>
      </c>
      <c r="G353" s="2443"/>
      <c r="H353" s="2601"/>
      <c r="I353" s="2602">
        <f t="shared" si="75"/>
        <v>0</v>
      </c>
      <c r="J353" s="1152"/>
      <c r="K353" s="1152"/>
      <c r="L353" s="1152"/>
      <c r="M353" s="1150">
        <f t="shared" si="76"/>
        <v>0</v>
      </c>
      <c r="N353" s="1151">
        <f t="shared" si="77"/>
        <v>0</v>
      </c>
      <c r="O353" s="1151">
        <f t="shared" si="78"/>
        <v>0</v>
      </c>
      <c r="P353" s="1139"/>
    </row>
    <row r="354" spans="2:22" ht="13.5" thickBot="1" x14ac:dyDescent="0.25">
      <c r="B354" s="2583">
        <f>B353+1</f>
        <v>16</v>
      </c>
      <c r="C354" s="2586" t="s">
        <v>781</v>
      </c>
      <c r="D354" s="2444"/>
      <c r="E354" s="2444"/>
      <c r="F354" s="2614">
        <f t="shared" si="74"/>
        <v>0</v>
      </c>
      <c r="G354" s="2443"/>
      <c r="H354" s="2601"/>
      <c r="I354" s="2602">
        <f t="shared" si="75"/>
        <v>0</v>
      </c>
      <c r="J354" s="1152"/>
      <c r="K354" s="1152"/>
      <c r="L354" s="1152"/>
      <c r="M354" s="1150"/>
      <c r="N354" s="1151"/>
      <c r="O354" s="1151"/>
      <c r="P354" s="1139"/>
    </row>
    <row r="355" spans="2:22" ht="13.5" thickBot="1" x14ac:dyDescent="0.25">
      <c r="B355" s="2583">
        <f>B354+1</f>
        <v>17</v>
      </c>
      <c r="C355" s="1892" t="s">
        <v>890</v>
      </c>
      <c r="D355" s="2631" t="s">
        <v>619</v>
      </c>
      <c r="E355" s="2631">
        <v>1</v>
      </c>
      <c r="F355" s="2618">
        <f t="shared" si="74"/>
        <v>0</v>
      </c>
      <c r="G355" s="2619">
        <f>F24</f>
        <v>0</v>
      </c>
      <c r="H355" s="2620"/>
      <c r="I355" s="2621">
        <f>F355*G355</f>
        <v>0</v>
      </c>
      <c r="J355" s="1174"/>
      <c r="K355" s="1153"/>
      <c r="L355" s="1153"/>
      <c r="M355" s="1154"/>
      <c r="N355" s="1155"/>
      <c r="O355" s="1155"/>
      <c r="P355" s="1139"/>
    </row>
    <row r="356" spans="2:22" x14ac:dyDescent="0.2">
      <c r="B356" s="2583">
        <f>B355+1</f>
        <v>18</v>
      </c>
      <c r="C356" s="2659"/>
      <c r="D356" s="2622"/>
      <c r="E356" s="2622"/>
      <c r="F356" s="2623">
        <f t="shared" si="74"/>
        <v>0</v>
      </c>
      <c r="G356" s="2624"/>
      <c r="H356" s="2605"/>
      <c r="I356" s="2606">
        <f t="shared" si="75"/>
        <v>0</v>
      </c>
      <c r="J356" s="1704"/>
      <c r="K356" s="1153"/>
      <c r="L356" s="1153"/>
      <c r="M356" s="1154"/>
      <c r="N356" s="1155"/>
      <c r="O356" s="1155"/>
      <c r="P356" s="1139"/>
    </row>
    <row r="357" spans="2:22" ht="13.5" thickBot="1" x14ac:dyDescent="0.25">
      <c r="B357" s="2583">
        <f>B356+1</f>
        <v>19</v>
      </c>
      <c r="C357" s="29"/>
      <c r="D357" s="2444"/>
      <c r="E357" s="2444"/>
      <c r="F357" s="2614">
        <f t="shared" si="74"/>
        <v>0</v>
      </c>
      <c r="G357" s="2443"/>
      <c r="H357" s="2601"/>
      <c r="I357" s="2602">
        <f t="shared" si="75"/>
        <v>0</v>
      </c>
      <c r="J357" s="1704"/>
      <c r="K357" s="1153"/>
      <c r="L357" s="1153"/>
      <c r="M357" s="1154"/>
      <c r="N357" s="1155"/>
      <c r="O357" s="1155"/>
      <c r="P357" s="1139"/>
    </row>
    <row r="358" spans="2:22" ht="19.5" customHeight="1" thickBot="1" x14ac:dyDescent="0.25">
      <c r="B358" s="2584"/>
      <c r="C358" s="2650"/>
      <c r="D358" s="2651"/>
      <c r="E358" s="2651"/>
      <c r="F358" s="2652"/>
      <c r="G358" s="2643" t="s">
        <v>434</v>
      </c>
      <c r="H358" s="2632"/>
      <c r="I358" s="2639">
        <f>SUM(SUMIF(I339:I357,"&gt;0",I339:I357))</f>
        <v>0</v>
      </c>
      <c r="J358" s="1157"/>
      <c r="K358" s="1158" t="s">
        <v>125</v>
      </c>
      <c r="L358" s="1158"/>
      <c r="M358" s="1159">
        <f>SUM(M339:M353)</f>
        <v>0</v>
      </c>
      <c r="N358" s="1159">
        <f>SUM(N339:N353)</f>
        <v>0</v>
      </c>
      <c r="O358" s="1160">
        <f>SUM(O339:O353)</f>
        <v>0</v>
      </c>
      <c r="P358" s="1139"/>
    </row>
    <row r="359" spans="2:22" ht="19.5" customHeight="1" thickBot="1" x14ac:dyDescent="0.25">
      <c r="B359" s="2584"/>
      <c r="C359" s="1156"/>
      <c r="D359" s="345"/>
      <c r="E359" s="345"/>
      <c r="F359" s="2645"/>
      <c r="G359" s="2647" t="s">
        <v>126</v>
      </c>
      <c r="H359" s="2656"/>
      <c r="I359" s="2657">
        <f>IF(I337=0,0,I358/I337)</f>
        <v>0</v>
      </c>
      <c r="J359" s="1163"/>
      <c r="K359" s="1164" t="s">
        <v>127</v>
      </c>
      <c r="L359" s="1164"/>
      <c r="M359" s="1165" t="e">
        <f>M358/$I$337</f>
        <v>#DIV/0!</v>
      </c>
      <c r="N359" s="1165" t="e">
        <f>N358/$I$337</f>
        <v>#DIV/0!</v>
      </c>
      <c r="O359" s="1166" t="e">
        <f>O358/$I$337</f>
        <v>#DIV/0!</v>
      </c>
      <c r="P359" s="1139"/>
    </row>
    <row r="360" spans="2:22" x14ac:dyDescent="0.2">
      <c r="B360" s="2585"/>
      <c r="C360" s="1156"/>
      <c r="D360" s="345"/>
      <c r="E360" s="345"/>
      <c r="F360" s="345"/>
      <c r="G360" s="345"/>
      <c r="H360" s="345"/>
      <c r="I360" s="1175"/>
      <c r="J360" s="345"/>
      <c r="K360" s="345"/>
      <c r="L360" s="345"/>
      <c r="M360" s="1140"/>
      <c r="N360" s="1140"/>
      <c r="O360" s="1140"/>
      <c r="P360" s="1139"/>
    </row>
    <row r="361" spans="2:22" s="1138" customFormat="1" ht="13.5" thickBot="1" x14ac:dyDescent="0.25">
      <c r="B361" s="2584"/>
      <c r="C361" s="2635" t="str">
        <f>IF(I362=0,"NÃO preencher o proximo quadro","OBRIGADO PREENCHER PROXIMO QUADRO")</f>
        <v>NÃO preencher o proximo quadro</v>
      </c>
      <c r="D361" s="1162"/>
      <c r="E361" s="1162"/>
      <c r="F361" s="1162"/>
      <c r="G361" s="1162"/>
      <c r="H361" s="1162"/>
      <c r="I361" s="1162"/>
      <c r="J361" s="345"/>
      <c r="K361" s="345"/>
      <c r="L361" s="345"/>
      <c r="M361" s="345"/>
      <c r="N361" s="345"/>
      <c r="O361" s="345"/>
      <c r="P361" s="1139"/>
      <c r="Q361" s="345"/>
      <c r="R361" s="345"/>
      <c r="S361" s="345"/>
      <c r="T361" s="345"/>
      <c r="U361" s="345"/>
      <c r="V361" s="345"/>
    </row>
    <row r="362" spans="2:22" ht="24.75" customHeight="1" thickBot="1" x14ac:dyDescent="0.25">
      <c r="B362" s="2584"/>
      <c r="C362" s="2627" t="s">
        <v>113</v>
      </c>
      <c r="D362" s="2597">
        <f>SOLO!G31</f>
        <v>0</v>
      </c>
      <c r="E362" s="2629"/>
      <c r="F362" s="2628"/>
      <c r="G362" s="2630" t="s">
        <v>114</v>
      </c>
      <c r="H362" s="2599"/>
      <c r="I362" s="2598">
        <f>SOLO!I31+SOLO!J31</f>
        <v>0</v>
      </c>
      <c r="J362" s="2915" t="s">
        <v>115</v>
      </c>
      <c r="K362" s="2916"/>
      <c r="L362" s="2917"/>
      <c r="M362" s="1167"/>
      <c r="N362" s="1167"/>
      <c r="O362" s="1168"/>
      <c r="P362" s="1139"/>
    </row>
    <row r="363" spans="2:22" ht="39" thickBot="1" x14ac:dyDescent="0.25">
      <c r="B363" s="2584"/>
      <c r="C363" s="2587" t="s">
        <v>116</v>
      </c>
      <c r="D363" s="2588" t="s">
        <v>772</v>
      </c>
      <c r="E363" s="2588" t="s">
        <v>770</v>
      </c>
      <c r="F363" s="2589" t="s">
        <v>432</v>
      </c>
      <c r="G363" s="2588" t="s">
        <v>771</v>
      </c>
      <c r="H363" s="2640"/>
      <c r="I363" s="2641" t="s">
        <v>118</v>
      </c>
      <c r="J363" s="1169" t="s">
        <v>119</v>
      </c>
      <c r="K363" s="1169" t="s">
        <v>120</v>
      </c>
      <c r="L363" s="1169" t="s">
        <v>121</v>
      </c>
      <c r="M363" s="1169" t="s">
        <v>122</v>
      </c>
      <c r="N363" s="1169" t="s">
        <v>128</v>
      </c>
      <c r="O363" s="1170" t="s">
        <v>129</v>
      </c>
      <c r="P363" s="1139"/>
    </row>
    <row r="364" spans="2:22" x14ac:dyDescent="0.2">
      <c r="B364" s="2582">
        <v>1</v>
      </c>
      <c r="C364" s="2594" t="s">
        <v>596</v>
      </c>
      <c r="D364" s="2698"/>
      <c r="E364" s="2699"/>
      <c r="F364" s="2613">
        <f t="shared" ref="F364:F382" si="80">E364*I$362</f>
        <v>0</v>
      </c>
      <c r="G364" s="2700"/>
      <c r="H364" s="2601"/>
      <c r="I364" s="2602">
        <f t="shared" ref="I364:I382" si="81">F364*G364</f>
        <v>0</v>
      </c>
      <c r="J364" s="1171"/>
      <c r="K364" s="1171"/>
      <c r="L364" s="1171"/>
      <c r="M364" s="1150">
        <f t="shared" ref="M364:M378" si="82">F364*J364/100</f>
        <v>0</v>
      </c>
      <c r="N364" s="1151">
        <f t="shared" ref="N364:N378" si="83">K364*F364/100</f>
        <v>0</v>
      </c>
      <c r="O364" s="1151">
        <f t="shared" ref="O364:O378" si="84">F364*L364/100</f>
        <v>0</v>
      </c>
      <c r="P364" s="1139"/>
    </row>
    <row r="365" spans="2:22" x14ac:dyDescent="0.2">
      <c r="B365" s="2583">
        <f>B364+1</f>
        <v>2</v>
      </c>
      <c r="C365" s="2586" t="s">
        <v>342</v>
      </c>
      <c r="D365" s="2698"/>
      <c r="E365" s="2444"/>
      <c r="F365" s="2614">
        <f t="shared" si="80"/>
        <v>0</v>
      </c>
      <c r="G365" s="2443"/>
      <c r="H365" s="2601"/>
      <c r="I365" s="2602">
        <f t="shared" si="81"/>
        <v>0</v>
      </c>
      <c r="J365" s="1152"/>
      <c r="K365" s="1152"/>
      <c r="L365" s="1152"/>
      <c r="M365" s="1150">
        <f t="shared" si="82"/>
        <v>0</v>
      </c>
      <c r="N365" s="1151">
        <f t="shared" si="83"/>
        <v>0</v>
      </c>
      <c r="O365" s="1151">
        <f t="shared" si="84"/>
        <v>0</v>
      </c>
      <c r="P365" s="1139"/>
    </row>
    <row r="366" spans="2:22" x14ac:dyDescent="0.2">
      <c r="B366" s="2583">
        <f t="shared" ref="B366:B378" si="85">B365+1</f>
        <v>3</v>
      </c>
      <c r="C366" s="2586" t="s">
        <v>762</v>
      </c>
      <c r="D366" s="2698"/>
      <c r="E366" s="2444"/>
      <c r="F366" s="2614">
        <f t="shared" si="80"/>
        <v>0</v>
      </c>
      <c r="G366" s="2443"/>
      <c r="H366" s="2601"/>
      <c r="I366" s="2602">
        <f t="shared" si="81"/>
        <v>0</v>
      </c>
      <c r="J366" s="1152"/>
      <c r="K366" s="1152"/>
      <c r="L366" s="1152"/>
      <c r="M366" s="1150">
        <f t="shared" si="82"/>
        <v>0</v>
      </c>
      <c r="N366" s="1151">
        <f t="shared" si="83"/>
        <v>0</v>
      </c>
      <c r="O366" s="1151">
        <f t="shared" si="84"/>
        <v>0</v>
      </c>
      <c r="P366" s="1139"/>
    </row>
    <row r="367" spans="2:22" x14ac:dyDescent="0.2">
      <c r="B367" s="2583">
        <f t="shared" si="85"/>
        <v>4</v>
      </c>
      <c r="C367" s="2595" t="s">
        <v>763</v>
      </c>
      <c r="D367" s="2698"/>
      <c r="E367" s="2444"/>
      <c r="F367" s="2614">
        <f t="shared" si="80"/>
        <v>0</v>
      </c>
      <c r="G367" s="2443"/>
      <c r="H367" s="2601"/>
      <c r="I367" s="2602">
        <f t="shared" si="81"/>
        <v>0</v>
      </c>
      <c r="J367" s="1152"/>
      <c r="K367" s="1152"/>
      <c r="L367" s="1152"/>
      <c r="M367" s="1150">
        <f t="shared" si="82"/>
        <v>0</v>
      </c>
      <c r="N367" s="1151">
        <f t="shared" si="83"/>
        <v>0</v>
      </c>
      <c r="O367" s="1151">
        <f t="shared" si="84"/>
        <v>0</v>
      </c>
      <c r="P367" s="1139"/>
    </row>
    <row r="368" spans="2:22" x14ac:dyDescent="0.2">
      <c r="B368" s="2583">
        <f t="shared" si="85"/>
        <v>5</v>
      </c>
      <c r="C368" s="2586" t="s">
        <v>675</v>
      </c>
      <c r="D368" s="2698"/>
      <c r="E368" s="2444"/>
      <c r="F368" s="2614">
        <f t="shared" si="80"/>
        <v>0</v>
      </c>
      <c r="G368" s="2443"/>
      <c r="H368" s="2601"/>
      <c r="I368" s="2602">
        <f t="shared" si="81"/>
        <v>0</v>
      </c>
      <c r="J368" s="1152"/>
      <c r="K368" s="1152"/>
      <c r="L368" s="1152"/>
      <c r="M368" s="1150">
        <f t="shared" si="82"/>
        <v>0</v>
      </c>
      <c r="N368" s="1151">
        <f t="shared" si="83"/>
        <v>0</v>
      </c>
      <c r="O368" s="1151">
        <f t="shared" si="84"/>
        <v>0</v>
      </c>
      <c r="P368" s="1139"/>
    </row>
    <row r="369" spans="2:16" x14ac:dyDescent="0.2">
      <c r="B369" s="2583">
        <f t="shared" si="85"/>
        <v>6</v>
      </c>
      <c r="C369" s="2586" t="s">
        <v>764</v>
      </c>
      <c r="D369" s="2444"/>
      <c r="E369" s="2444"/>
      <c r="F369" s="2614">
        <f t="shared" si="80"/>
        <v>0</v>
      </c>
      <c r="G369" s="2443"/>
      <c r="H369" s="2601"/>
      <c r="I369" s="2602">
        <f t="shared" si="81"/>
        <v>0</v>
      </c>
      <c r="J369" s="1152"/>
      <c r="K369" s="1152"/>
      <c r="L369" s="1152"/>
      <c r="M369" s="1150">
        <f t="shared" si="82"/>
        <v>0</v>
      </c>
      <c r="N369" s="1151">
        <f t="shared" si="83"/>
        <v>0</v>
      </c>
      <c r="O369" s="1151">
        <f t="shared" si="84"/>
        <v>0</v>
      </c>
      <c r="P369" s="1139"/>
    </row>
    <row r="370" spans="2:16" x14ac:dyDescent="0.2">
      <c r="B370" s="2583">
        <f t="shared" si="85"/>
        <v>7</v>
      </c>
      <c r="C370" s="2586" t="s">
        <v>765</v>
      </c>
      <c r="D370" s="2444"/>
      <c r="E370" s="2444"/>
      <c r="F370" s="2614">
        <f t="shared" si="80"/>
        <v>0</v>
      </c>
      <c r="G370" s="2443"/>
      <c r="H370" s="2601"/>
      <c r="I370" s="2602">
        <f t="shared" si="81"/>
        <v>0</v>
      </c>
      <c r="J370" s="1152"/>
      <c r="K370" s="1152"/>
      <c r="L370" s="1152"/>
      <c r="M370" s="1150">
        <f t="shared" si="82"/>
        <v>0</v>
      </c>
      <c r="N370" s="1151">
        <f t="shared" si="83"/>
        <v>0</v>
      </c>
      <c r="O370" s="1151">
        <f t="shared" si="84"/>
        <v>0</v>
      </c>
      <c r="P370" s="1139"/>
    </row>
    <row r="371" spans="2:16" x14ac:dyDescent="0.2">
      <c r="B371" s="2583">
        <f t="shared" si="85"/>
        <v>8</v>
      </c>
      <c r="C371" s="2586" t="s">
        <v>766</v>
      </c>
      <c r="D371" s="2444"/>
      <c r="E371" s="2444"/>
      <c r="F371" s="2614">
        <f t="shared" si="80"/>
        <v>0</v>
      </c>
      <c r="G371" s="2443"/>
      <c r="H371" s="2601"/>
      <c r="I371" s="2602">
        <f t="shared" si="81"/>
        <v>0</v>
      </c>
      <c r="J371" s="1152"/>
      <c r="K371" s="1152"/>
      <c r="L371" s="1152"/>
      <c r="M371" s="1150">
        <f t="shared" si="82"/>
        <v>0</v>
      </c>
      <c r="N371" s="1151">
        <f t="shared" si="83"/>
        <v>0</v>
      </c>
      <c r="O371" s="1151">
        <f t="shared" si="84"/>
        <v>0</v>
      </c>
      <c r="P371" s="1139"/>
    </row>
    <row r="372" spans="2:16" x14ac:dyDescent="0.2">
      <c r="B372" s="2583">
        <f t="shared" si="85"/>
        <v>9</v>
      </c>
      <c r="C372" s="2586" t="s">
        <v>767</v>
      </c>
      <c r="D372" s="2444"/>
      <c r="E372" s="2444"/>
      <c r="F372" s="2614">
        <f t="shared" si="80"/>
        <v>0</v>
      </c>
      <c r="G372" s="2443"/>
      <c r="H372" s="2601"/>
      <c r="I372" s="2602">
        <f t="shared" si="81"/>
        <v>0</v>
      </c>
      <c r="J372" s="1152"/>
      <c r="K372" s="1152"/>
      <c r="L372" s="1152"/>
      <c r="M372" s="1150">
        <f t="shared" si="82"/>
        <v>0</v>
      </c>
      <c r="N372" s="1151">
        <f t="shared" si="83"/>
        <v>0</v>
      </c>
      <c r="O372" s="1151">
        <f t="shared" si="84"/>
        <v>0</v>
      </c>
      <c r="P372" s="1139"/>
    </row>
    <row r="373" spans="2:16" x14ac:dyDescent="0.2">
      <c r="B373" s="2583">
        <f t="shared" si="85"/>
        <v>10</v>
      </c>
      <c r="C373" s="2586" t="s">
        <v>768</v>
      </c>
      <c r="D373" s="2444"/>
      <c r="E373" s="2444"/>
      <c r="F373" s="2614">
        <f t="shared" si="80"/>
        <v>0</v>
      </c>
      <c r="G373" s="2443"/>
      <c r="H373" s="2601"/>
      <c r="I373" s="2602">
        <f t="shared" si="81"/>
        <v>0</v>
      </c>
      <c r="J373" s="1152"/>
      <c r="K373" s="1152"/>
      <c r="L373" s="1152"/>
      <c r="M373" s="1150">
        <f t="shared" si="82"/>
        <v>0</v>
      </c>
      <c r="N373" s="1151">
        <f t="shared" si="83"/>
        <v>0</v>
      </c>
      <c r="O373" s="1151">
        <f t="shared" si="84"/>
        <v>0</v>
      </c>
      <c r="P373" s="1139"/>
    </row>
    <row r="374" spans="2:16" x14ac:dyDescent="0.2">
      <c r="B374" s="2583">
        <f t="shared" si="85"/>
        <v>11</v>
      </c>
      <c r="C374" s="2586" t="s">
        <v>774</v>
      </c>
      <c r="D374" s="2444"/>
      <c r="E374" s="2444"/>
      <c r="F374" s="2614">
        <f t="shared" si="80"/>
        <v>0</v>
      </c>
      <c r="G374" s="2443"/>
      <c r="H374" s="2601"/>
      <c r="I374" s="2602">
        <f t="shared" si="81"/>
        <v>0</v>
      </c>
      <c r="J374" s="1152"/>
      <c r="K374" s="1152"/>
      <c r="L374" s="1152"/>
      <c r="M374" s="1150">
        <f t="shared" si="82"/>
        <v>0</v>
      </c>
      <c r="N374" s="1151">
        <f t="shared" si="83"/>
        <v>0</v>
      </c>
      <c r="O374" s="1151">
        <f t="shared" si="84"/>
        <v>0</v>
      </c>
      <c r="P374" s="1139"/>
    </row>
    <row r="375" spans="2:16" x14ac:dyDescent="0.2">
      <c r="B375" s="2583">
        <f t="shared" si="85"/>
        <v>12</v>
      </c>
      <c r="C375" s="2586" t="s">
        <v>775</v>
      </c>
      <c r="D375" s="2444"/>
      <c r="E375" s="2444"/>
      <c r="F375" s="2614">
        <f t="shared" si="80"/>
        <v>0</v>
      </c>
      <c r="G375" s="2443"/>
      <c r="H375" s="2601"/>
      <c r="I375" s="2602">
        <f t="shared" si="81"/>
        <v>0</v>
      </c>
      <c r="J375" s="1152"/>
      <c r="K375" s="1152"/>
      <c r="L375" s="1152"/>
      <c r="M375" s="1150">
        <f t="shared" si="82"/>
        <v>0</v>
      </c>
      <c r="N375" s="1151">
        <f t="shared" si="83"/>
        <v>0</v>
      </c>
      <c r="O375" s="1151">
        <f t="shared" si="84"/>
        <v>0</v>
      </c>
      <c r="P375" s="1139"/>
    </row>
    <row r="376" spans="2:16" x14ac:dyDescent="0.2">
      <c r="B376" s="2583">
        <f t="shared" si="85"/>
        <v>13</v>
      </c>
      <c r="C376" s="2586" t="s">
        <v>776</v>
      </c>
      <c r="D376" s="2444"/>
      <c r="E376" s="2444"/>
      <c r="F376" s="2614">
        <f t="shared" si="80"/>
        <v>0</v>
      </c>
      <c r="G376" s="2443"/>
      <c r="H376" s="2601"/>
      <c r="I376" s="2602">
        <f t="shared" si="81"/>
        <v>0</v>
      </c>
      <c r="J376" s="1152"/>
      <c r="K376" s="1152"/>
      <c r="L376" s="1152"/>
      <c r="M376" s="1150">
        <f t="shared" si="82"/>
        <v>0</v>
      </c>
      <c r="N376" s="1151">
        <f t="shared" si="83"/>
        <v>0</v>
      </c>
      <c r="O376" s="1151">
        <f t="shared" si="84"/>
        <v>0</v>
      </c>
      <c r="P376" s="1139"/>
    </row>
    <row r="377" spans="2:16" x14ac:dyDescent="0.2">
      <c r="B377" s="2583">
        <f t="shared" si="85"/>
        <v>14</v>
      </c>
      <c r="C377" s="2586" t="s">
        <v>777</v>
      </c>
      <c r="D377" s="2444"/>
      <c r="E377" s="2444"/>
      <c r="F377" s="2614">
        <f t="shared" si="80"/>
        <v>0</v>
      </c>
      <c r="G377" s="2443"/>
      <c r="H377" s="2601"/>
      <c r="I377" s="2602">
        <f t="shared" si="81"/>
        <v>0</v>
      </c>
      <c r="J377" s="1152"/>
      <c r="K377" s="1152"/>
      <c r="L377" s="1152"/>
      <c r="M377" s="1150">
        <f t="shared" si="82"/>
        <v>0</v>
      </c>
      <c r="N377" s="1151">
        <f t="shared" si="83"/>
        <v>0</v>
      </c>
      <c r="O377" s="1151">
        <f t="shared" si="84"/>
        <v>0</v>
      </c>
      <c r="P377" s="1139"/>
    </row>
    <row r="378" spans="2:16" x14ac:dyDescent="0.2">
      <c r="B378" s="2583">
        <f t="shared" si="85"/>
        <v>15</v>
      </c>
      <c r="C378" s="2586" t="s">
        <v>778</v>
      </c>
      <c r="D378" s="2444"/>
      <c r="E378" s="2444"/>
      <c r="F378" s="2614">
        <f t="shared" si="80"/>
        <v>0</v>
      </c>
      <c r="G378" s="2443"/>
      <c r="H378" s="2601"/>
      <c r="I378" s="2602">
        <f t="shared" si="81"/>
        <v>0</v>
      </c>
      <c r="J378" s="1152"/>
      <c r="K378" s="1152"/>
      <c r="L378" s="1152"/>
      <c r="M378" s="1150">
        <f t="shared" si="82"/>
        <v>0</v>
      </c>
      <c r="N378" s="1151">
        <f t="shared" si="83"/>
        <v>0</v>
      </c>
      <c r="O378" s="1151">
        <f t="shared" si="84"/>
        <v>0</v>
      </c>
      <c r="P378" s="1139"/>
    </row>
    <row r="379" spans="2:16" ht="13.5" thickBot="1" x14ac:dyDescent="0.25">
      <c r="B379" s="2583">
        <f>B378+1</f>
        <v>16</v>
      </c>
      <c r="C379" s="2586" t="s">
        <v>781</v>
      </c>
      <c r="D379" s="2444"/>
      <c r="E379" s="2444"/>
      <c r="F379" s="2614">
        <f t="shared" si="80"/>
        <v>0</v>
      </c>
      <c r="G379" s="2443"/>
      <c r="H379" s="2601"/>
      <c r="I379" s="2602">
        <f t="shared" si="81"/>
        <v>0</v>
      </c>
      <c r="J379" s="1152"/>
      <c r="K379" s="1152"/>
      <c r="L379" s="1152"/>
      <c r="M379" s="1150"/>
      <c r="N379" s="1151"/>
      <c r="O379" s="1151"/>
      <c r="P379" s="1139"/>
    </row>
    <row r="380" spans="2:16" ht="13.5" thickBot="1" x14ac:dyDescent="0.25">
      <c r="B380" s="2583">
        <f>B379+1</f>
        <v>17</v>
      </c>
      <c r="C380" s="1892" t="s">
        <v>890</v>
      </c>
      <c r="D380" s="2631" t="s">
        <v>619</v>
      </c>
      <c r="E380" s="2631">
        <v>1</v>
      </c>
      <c r="F380" s="2618">
        <f>E380*I$362</f>
        <v>0</v>
      </c>
      <c r="G380" s="2619">
        <f>F25</f>
        <v>0</v>
      </c>
      <c r="H380" s="2620"/>
      <c r="I380" s="2621">
        <f>F380*G380</f>
        <v>0</v>
      </c>
      <c r="J380" s="1174"/>
      <c r="K380" s="1153"/>
      <c r="L380" s="1153"/>
      <c r="M380" s="1154"/>
      <c r="N380" s="1155"/>
      <c r="O380" s="1155"/>
      <c r="P380" s="1139"/>
    </row>
    <row r="381" spans="2:16" x14ac:dyDescent="0.2">
      <c r="B381" s="2583">
        <f>B380+1</f>
        <v>18</v>
      </c>
      <c r="C381" s="2659"/>
      <c r="D381" s="2622"/>
      <c r="E381" s="2622"/>
      <c r="F381" s="2623">
        <f t="shared" si="80"/>
        <v>0</v>
      </c>
      <c r="G381" s="2624"/>
      <c r="H381" s="2605"/>
      <c r="I381" s="2606">
        <f t="shared" si="81"/>
        <v>0</v>
      </c>
      <c r="J381" s="1704"/>
      <c r="K381" s="1153"/>
      <c r="L381" s="1153"/>
      <c r="M381" s="1154"/>
      <c r="N381" s="1155"/>
      <c r="O381" s="1155"/>
      <c r="P381" s="1139"/>
    </row>
    <row r="382" spans="2:16" ht="13.5" thickBot="1" x14ac:dyDescent="0.25">
      <c r="B382" s="2583">
        <f>B381+1</f>
        <v>19</v>
      </c>
      <c r="C382" s="29"/>
      <c r="D382" s="2444"/>
      <c r="E382" s="2444"/>
      <c r="F382" s="2614">
        <f t="shared" si="80"/>
        <v>0</v>
      </c>
      <c r="G382" s="2443"/>
      <c r="H382" s="2601"/>
      <c r="I382" s="2602">
        <f t="shared" si="81"/>
        <v>0</v>
      </c>
      <c r="J382" s="1704"/>
      <c r="K382" s="1153"/>
      <c r="L382" s="1153"/>
      <c r="M382" s="1154"/>
      <c r="N382" s="1155"/>
      <c r="O382" s="1155"/>
      <c r="P382" s="1139"/>
    </row>
    <row r="383" spans="2:16" ht="19.5" customHeight="1" thickBot="1" x14ac:dyDescent="0.25">
      <c r="B383" s="2584"/>
      <c r="C383" s="2650"/>
      <c r="D383" s="2651"/>
      <c r="E383" s="2651"/>
      <c r="F383" s="2652"/>
      <c r="G383" s="2643" t="s">
        <v>434</v>
      </c>
      <c r="H383" s="2632"/>
      <c r="I383" s="2639">
        <f>SUM(SUMIF(I364:I382,"&gt;0",I364:I382))</f>
        <v>0</v>
      </c>
      <c r="J383" s="1157"/>
      <c r="K383" s="1158" t="s">
        <v>125</v>
      </c>
      <c r="L383" s="1158"/>
      <c r="M383" s="1159">
        <f>SUM(M364:M378)</f>
        <v>0</v>
      </c>
      <c r="N383" s="1159">
        <f>SUM(N364:N378)</f>
        <v>0</v>
      </c>
      <c r="O383" s="1160">
        <f>SUM(O364:O378)</f>
        <v>0</v>
      </c>
      <c r="P383" s="1139"/>
    </row>
    <row r="384" spans="2:16" ht="19.5" customHeight="1" thickBot="1" x14ac:dyDescent="0.25">
      <c r="B384" s="2584"/>
      <c r="C384" s="1156"/>
      <c r="D384" s="345"/>
      <c r="E384" s="345"/>
      <c r="F384" s="2645"/>
      <c r="G384" s="2644" t="s">
        <v>126</v>
      </c>
      <c r="H384" s="2633"/>
      <c r="I384" s="2638">
        <f>IF(I362=0,0,I383/I362)</f>
        <v>0</v>
      </c>
      <c r="J384" s="1163"/>
      <c r="K384" s="1164" t="s">
        <v>127</v>
      </c>
      <c r="L384" s="1164"/>
      <c r="M384" s="1165" t="e">
        <f>M383/$I$362</f>
        <v>#DIV/0!</v>
      </c>
      <c r="N384" s="1165" t="e">
        <f>N383/$I$362</f>
        <v>#DIV/0!</v>
      </c>
      <c r="O384" s="1166" t="e">
        <f>O383/$I$362</f>
        <v>#DIV/0!</v>
      </c>
      <c r="P384" s="1139"/>
    </row>
    <row r="385" spans="2:22" s="1138" customFormat="1" ht="15" customHeight="1" x14ac:dyDescent="0.3">
      <c r="B385" s="2584"/>
      <c r="C385" s="1156"/>
      <c r="D385" s="345"/>
      <c r="E385" s="1179"/>
      <c r="F385" s="1179"/>
      <c r="G385" s="1178"/>
      <c r="H385" s="1178"/>
      <c r="I385" s="1178"/>
      <c r="J385" s="1179" t="s">
        <v>83</v>
      </c>
      <c r="K385" s="1179" t="s">
        <v>83</v>
      </c>
      <c r="L385" s="1179" t="s">
        <v>83</v>
      </c>
      <c r="M385" s="1179" t="s">
        <v>83</v>
      </c>
      <c r="N385" s="1179" t="s">
        <v>83</v>
      </c>
      <c r="O385" s="1179" t="s">
        <v>83</v>
      </c>
      <c r="P385" s="1139"/>
      <c r="Q385" s="1179"/>
      <c r="R385" s="345"/>
      <c r="S385" s="345"/>
      <c r="T385" s="345"/>
      <c r="U385" s="345"/>
      <c r="V385" s="345"/>
    </row>
    <row r="386" spans="2:22" s="1138" customFormat="1" ht="15" customHeight="1" x14ac:dyDescent="0.3">
      <c r="B386" s="2584"/>
      <c r="C386" s="1156"/>
      <c r="D386" s="345"/>
      <c r="E386" s="1179"/>
      <c r="F386" s="1179"/>
      <c r="G386" s="1179"/>
      <c r="H386" s="1179"/>
      <c r="I386" s="1179"/>
      <c r="J386" s="1179"/>
      <c r="K386" s="1179"/>
      <c r="L386" s="1179"/>
      <c r="M386" s="1179"/>
      <c r="N386" s="1179"/>
      <c r="O386" s="1179"/>
      <c r="P386" s="1139"/>
      <c r="Q386" s="1179"/>
      <c r="R386" s="345"/>
      <c r="S386" s="345"/>
      <c r="T386" s="345"/>
      <c r="U386" s="345"/>
      <c r="V386" s="345"/>
    </row>
    <row r="387" spans="2:22" s="1138" customFormat="1" ht="15" customHeight="1" thickBot="1" x14ac:dyDescent="0.35">
      <c r="B387" s="2584"/>
      <c r="C387" s="2635" t="str">
        <f>IF(I388=0,"NÃO preencher o proximo quadro","OBRIGADO PREENCHER PROXIMO QUADRO")</f>
        <v>NÃO preencher o proximo quadro</v>
      </c>
      <c r="D387" s="1162"/>
      <c r="E387" s="1162"/>
      <c r="F387" s="1162"/>
      <c r="G387" s="1162"/>
      <c r="H387" s="1162"/>
      <c r="I387" s="1162"/>
      <c r="J387" s="1179"/>
      <c r="K387" s="1179"/>
      <c r="L387" s="1179"/>
      <c r="M387" s="1179"/>
      <c r="N387" s="1179"/>
      <c r="O387" s="1179"/>
      <c r="P387" s="1139"/>
      <c r="Q387" s="1179"/>
      <c r="R387" s="345"/>
      <c r="S387" s="345"/>
      <c r="T387" s="345"/>
      <c r="U387" s="345"/>
      <c r="V387" s="345"/>
    </row>
    <row r="388" spans="2:22" ht="24.75" customHeight="1" thickBot="1" x14ac:dyDescent="0.25">
      <c r="B388" s="2584"/>
      <c r="C388" s="2627" t="s">
        <v>113</v>
      </c>
      <c r="D388" s="2597">
        <f>SOLO!G32</f>
        <v>0</v>
      </c>
      <c r="E388" s="2629"/>
      <c r="F388" s="2628"/>
      <c r="G388" s="2630" t="s">
        <v>114</v>
      </c>
      <c r="H388" s="2599"/>
      <c r="I388" s="2598">
        <f>SOLO!K32+SOLO!L32</f>
        <v>0</v>
      </c>
      <c r="J388" s="2915"/>
      <c r="K388" s="2916"/>
      <c r="L388" s="2917"/>
      <c r="M388" s="1167"/>
      <c r="N388" s="1167"/>
      <c r="O388" s="1168"/>
      <c r="P388" s="1139"/>
    </row>
    <row r="389" spans="2:22" ht="39" thickBot="1" x14ac:dyDescent="0.25">
      <c r="B389" s="2584"/>
      <c r="C389" s="2587" t="s">
        <v>116</v>
      </c>
      <c r="D389" s="2588" t="s">
        <v>772</v>
      </c>
      <c r="E389" s="2588" t="s">
        <v>770</v>
      </c>
      <c r="F389" s="2589" t="s">
        <v>432</v>
      </c>
      <c r="G389" s="2588" t="s">
        <v>771</v>
      </c>
      <c r="H389" s="2640"/>
      <c r="I389" s="2641" t="s">
        <v>118</v>
      </c>
      <c r="J389" s="1169"/>
      <c r="K389" s="1169"/>
      <c r="L389" s="1169"/>
      <c r="M389" s="1169"/>
      <c r="N389" s="1169"/>
      <c r="O389" s="1170"/>
      <c r="P389" s="1139"/>
    </row>
    <row r="390" spans="2:22" x14ac:dyDescent="0.2">
      <c r="B390" s="2582">
        <v>1</v>
      </c>
      <c r="C390" s="2594" t="s">
        <v>596</v>
      </c>
      <c r="D390" s="2698"/>
      <c r="E390" s="2699"/>
      <c r="F390" s="2613">
        <f t="shared" ref="F390:F405" si="86">E390*I$362</f>
        <v>0</v>
      </c>
      <c r="G390" s="2700"/>
      <c r="H390" s="2601"/>
      <c r="I390" s="2602">
        <f t="shared" ref="I390:I405" si="87">F390*G390</f>
        <v>0</v>
      </c>
      <c r="J390" s="1171"/>
      <c r="K390" s="1171"/>
      <c r="L390" s="1171"/>
      <c r="M390" s="1150"/>
      <c r="N390" s="1151"/>
      <c r="O390" s="1151"/>
      <c r="P390" s="1139"/>
    </row>
    <row r="391" spans="2:22" x14ac:dyDescent="0.2">
      <c r="B391" s="2583">
        <f>B390+1</f>
        <v>2</v>
      </c>
      <c r="C391" s="2586" t="s">
        <v>342</v>
      </c>
      <c r="D391" s="2698"/>
      <c r="E391" s="2444"/>
      <c r="F391" s="2614">
        <f t="shared" si="86"/>
        <v>0</v>
      </c>
      <c r="G391" s="2443"/>
      <c r="H391" s="2601"/>
      <c r="I391" s="2602">
        <f t="shared" si="87"/>
        <v>0</v>
      </c>
      <c r="J391" s="1152"/>
      <c r="K391" s="1152"/>
      <c r="L391" s="1152"/>
      <c r="M391" s="1150"/>
      <c r="N391" s="1151"/>
      <c r="O391" s="1151"/>
      <c r="P391" s="1139"/>
    </row>
    <row r="392" spans="2:22" x14ac:dyDescent="0.2">
      <c r="B392" s="2583">
        <f t="shared" ref="B392:B404" si="88">B391+1</f>
        <v>3</v>
      </c>
      <c r="C392" s="2586" t="s">
        <v>762</v>
      </c>
      <c r="D392" s="2698"/>
      <c r="E392" s="2444"/>
      <c r="F392" s="2614">
        <f t="shared" si="86"/>
        <v>0</v>
      </c>
      <c r="G392" s="2443"/>
      <c r="H392" s="2601"/>
      <c r="I392" s="2602">
        <f t="shared" si="87"/>
        <v>0</v>
      </c>
      <c r="J392" s="1152"/>
      <c r="K392" s="1152"/>
      <c r="L392" s="1152"/>
      <c r="M392" s="1150"/>
      <c r="N392" s="1151"/>
      <c r="O392" s="1151"/>
      <c r="P392" s="1139"/>
    </row>
    <row r="393" spans="2:22" x14ac:dyDescent="0.2">
      <c r="B393" s="2583">
        <f t="shared" si="88"/>
        <v>4</v>
      </c>
      <c r="C393" s="2595" t="s">
        <v>763</v>
      </c>
      <c r="D393" s="2698"/>
      <c r="E393" s="2444"/>
      <c r="F393" s="2614">
        <f t="shared" si="86"/>
        <v>0</v>
      </c>
      <c r="G393" s="2443"/>
      <c r="H393" s="2601"/>
      <c r="I393" s="2602">
        <f t="shared" si="87"/>
        <v>0</v>
      </c>
      <c r="J393" s="1152"/>
      <c r="K393" s="1152"/>
      <c r="L393" s="1152"/>
      <c r="M393" s="1150"/>
      <c r="N393" s="1151"/>
      <c r="O393" s="1151"/>
      <c r="P393" s="1139"/>
    </row>
    <row r="394" spans="2:22" x14ac:dyDescent="0.2">
      <c r="B394" s="2583">
        <f t="shared" si="88"/>
        <v>5</v>
      </c>
      <c r="C394" s="2586" t="s">
        <v>675</v>
      </c>
      <c r="D394" s="2698"/>
      <c r="E394" s="2444"/>
      <c r="F394" s="2614">
        <f t="shared" si="86"/>
        <v>0</v>
      </c>
      <c r="G394" s="2443"/>
      <c r="H394" s="2601"/>
      <c r="I394" s="2602">
        <f t="shared" si="87"/>
        <v>0</v>
      </c>
      <c r="J394" s="1152"/>
      <c r="K394" s="1152"/>
      <c r="L394" s="1152"/>
      <c r="M394" s="1150"/>
      <c r="N394" s="1151"/>
      <c r="O394" s="1151"/>
      <c r="P394" s="1139"/>
    </row>
    <row r="395" spans="2:22" x14ac:dyDescent="0.2">
      <c r="B395" s="2583">
        <f t="shared" si="88"/>
        <v>6</v>
      </c>
      <c r="C395" s="2586" t="s">
        <v>764</v>
      </c>
      <c r="D395" s="2444"/>
      <c r="E395" s="2444"/>
      <c r="F395" s="2614">
        <f t="shared" si="86"/>
        <v>0</v>
      </c>
      <c r="G395" s="2443"/>
      <c r="H395" s="2601"/>
      <c r="I395" s="2602">
        <f t="shared" si="87"/>
        <v>0</v>
      </c>
      <c r="J395" s="1152"/>
      <c r="K395" s="1152"/>
      <c r="L395" s="1152"/>
      <c r="M395" s="1150"/>
      <c r="N395" s="1151"/>
      <c r="O395" s="1151"/>
      <c r="P395" s="1139"/>
    </row>
    <row r="396" spans="2:22" x14ac:dyDescent="0.2">
      <c r="B396" s="2583">
        <f t="shared" si="88"/>
        <v>7</v>
      </c>
      <c r="C396" s="2586" t="s">
        <v>765</v>
      </c>
      <c r="D396" s="2444"/>
      <c r="E396" s="2444"/>
      <c r="F396" s="2614">
        <f t="shared" si="86"/>
        <v>0</v>
      </c>
      <c r="G396" s="2443"/>
      <c r="H396" s="2601"/>
      <c r="I396" s="2602">
        <f t="shared" si="87"/>
        <v>0</v>
      </c>
      <c r="J396" s="1152"/>
      <c r="K396" s="1152"/>
      <c r="L396" s="1152"/>
      <c r="M396" s="1150"/>
      <c r="N396" s="1151"/>
      <c r="O396" s="1151"/>
      <c r="P396" s="1139"/>
    </row>
    <row r="397" spans="2:22" x14ac:dyDescent="0.2">
      <c r="B397" s="2583">
        <f t="shared" si="88"/>
        <v>8</v>
      </c>
      <c r="C397" s="2586" t="s">
        <v>766</v>
      </c>
      <c r="D397" s="2444"/>
      <c r="E397" s="2444"/>
      <c r="F397" s="2614">
        <f t="shared" si="86"/>
        <v>0</v>
      </c>
      <c r="G397" s="2443"/>
      <c r="H397" s="2601"/>
      <c r="I397" s="2602">
        <f t="shared" si="87"/>
        <v>0</v>
      </c>
      <c r="J397" s="1152"/>
      <c r="K397" s="1152"/>
      <c r="L397" s="1152"/>
      <c r="M397" s="1150"/>
      <c r="N397" s="1151"/>
      <c r="O397" s="1151"/>
      <c r="P397" s="1139"/>
    </row>
    <row r="398" spans="2:22" x14ac:dyDescent="0.2">
      <c r="B398" s="2583">
        <f t="shared" si="88"/>
        <v>9</v>
      </c>
      <c r="C398" s="2586" t="s">
        <v>767</v>
      </c>
      <c r="D398" s="2444"/>
      <c r="E398" s="2444"/>
      <c r="F398" s="2614">
        <f t="shared" si="86"/>
        <v>0</v>
      </c>
      <c r="G398" s="2443"/>
      <c r="H398" s="2601"/>
      <c r="I398" s="2602">
        <f t="shared" si="87"/>
        <v>0</v>
      </c>
      <c r="J398" s="1152"/>
      <c r="K398" s="1152"/>
      <c r="L398" s="1152"/>
      <c r="M398" s="1150"/>
      <c r="N398" s="1151"/>
      <c r="O398" s="1151"/>
      <c r="P398" s="1139"/>
    </row>
    <row r="399" spans="2:22" x14ac:dyDescent="0.2">
      <c r="B399" s="2583">
        <f t="shared" si="88"/>
        <v>10</v>
      </c>
      <c r="C399" s="2586" t="s">
        <v>768</v>
      </c>
      <c r="D399" s="2444"/>
      <c r="E399" s="2444"/>
      <c r="F399" s="2614">
        <f t="shared" si="86"/>
        <v>0</v>
      </c>
      <c r="G399" s="2443"/>
      <c r="H399" s="2601"/>
      <c r="I399" s="2602">
        <f t="shared" si="87"/>
        <v>0</v>
      </c>
      <c r="J399" s="1152"/>
      <c r="K399" s="1152"/>
      <c r="L399" s="1152"/>
      <c r="M399" s="1150"/>
      <c r="N399" s="1151"/>
      <c r="O399" s="1151"/>
      <c r="P399" s="1139"/>
    </row>
    <row r="400" spans="2:22" x14ac:dyDescent="0.2">
      <c r="B400" s="2583">
        <f t="shared" si="88"/>
        <v>11</v>
      </c>
      <c r="C400" s="2586" t="s">
        <v>774</v>
      </c>
      <c r="D400" s="2444"/>
      <c r="E400" s="2444"/>
      <c r="F400" s="2614">
        <f t="shared" si="86"/>
        <v>0</v>
      </c>
      <c r="G400" s="2443"/>
      <c r="H400" s="2601"/>
      <c r="I400" s="2602">
        <f t="shared" si="87"/>
        <v>0</v>
      </c>
      <c r="J400" s="1152"/>
      <c r="K400" s="1152"/>
      <c r="L400" s="1152"/>
      <c r="M400" s="1150"/>
      <c r="N400" s="1151"/>
      <c r="O400" s="1151"/>
      <c r="P400" s="1139"/>
    </row>
    <row r="401" spans="2:22" x14ac:dyDescent="0.2">
      <c r="B401" s="2583">
        <f t="shared" si="88"/>
        <v>12</v>
      </c>
      <c r="C401" s="2586" t="s">
        <v>775</v>
      </c>
      <c r="D401" s="2444"/>
      <c r="E401" s="2444"/>
      <c r="F401" s="2614">
        <f t="shared" si="86"/>
        <v>0</v>
      </c>
      <c r="G401" s="2443"/>
      <c r="H401" s="2601"/>
      <c r="I401" s="2602">
        <f t="shared" si="87"/>
        <v>0</v>
      </c>
      <c r="J401" s="1152"/>
      <c r="K401" s="1152"/>
      <c r="L401" s="1152"/>
      <c r="M401" s="1150"/>
      <c r="N401" s="1151"/>
      <c r="O401" s="1151"/>
      <c r="P401" s="1139"/>
    </row>
    <row r="402" spans="2:22" x14ac:dyDescent="0.2">
      <c r="B402" s="2583">
        <f t="shared" si="88"/>
        <v>13</v>
      </c>
      <c r="C402" s="2586" t="s">
        <v>776</v>
      </c>
      <c r="D402" s="2444"/>
      <c r="E402" s="2444"/>
      <c r="F402" s="2614">
        <f t="shared" si="86"/>
        <v>0</v>
      </c>
      <c r="G402" s="2443"/>
      <c r="H402" s="2601"/>
      <c r="I402" s="2602">
        <f t="shared" si="87"/>
        <v>0</v>
      </c>
      <c r="J402" s="1152"/>
      <c r="K402" s="1152"/>
      <c r="L402" s="1152"/>
      <c r="M402" s="1150"/>
      <c r="N402" s="1151"/>
      <c r="O402" s="1151"/>
      <c r="P402" s="1139"/>
    </row>
    <row r="403" spans="2:22" x14ac:dyDescent="0.2">
      <c r="B403" s="2583">
        <f t="shared" si="88"/>
        <v>14</v>
      </c>
      <c r="C403" s="2586" t="s">
        <v>777</v>
      </c>
      <c r="D403" s="2444"/>
      <c r="E403" s="2444"/>
      <c r="F403" s="2614">
        <f t="shared" si="86"/>
        <v>0</v>
      </c>
      <c r="G403" s="2443"/>
      <c r="H403" s="2601"/>
      <c r="I403" s="2602">
        <f t="shared" si="87"/>
        <v>0</v>
      </c>
      <c r="J403" s="1152"/>
      <c r="K403" s="1152"/>
      <c r="L403" s="1152"/>
      <c r="M403" s="1150"/>
      <c r="N403" s="1151"/>
      <c r="O403" s="1151"/>
      <c r="P403" s="1139"/>
    </row>
    <row r="404" spans="2:22" x14ac:dyDescent="0.2">
      <c r="B404" s="2583">
        <f t="shared" si="88"/>
        <v>15</v>
      </c>
      <c r="C404" s="2586" t="s">
        <v>778</v>
      </c>
      <c r="D404" s="2444"/>
      <c r="E404" s="2444"/>
      <c r="F404" s="2614">
        <f t="shared" si="86"/>
        <v>0</v>
      </c>
      <c r="G404" s="2443"/>
      <c r="H404" s="2601"/>
      <c r="I404" s="2602">
        <f t="shared" si="87"/>
        <v>0</v>
      </c>
      <c r="J404" s="1152"/>
      <c r="K404" s="1152"/>
      <c r="L404" s="1152"/>
      <c r="M404" s="1150"/>
      <c r="N404" s="1151"/>
      <c r="O404" s="1151"/>
      <c r="P404" s="1139"/>
    </row>
    <row r="405" spans="2:22" ht="13.5" thickBot="1" x14ac:dyDescent="0.25">
      <c r="B405" s="2583">
        <f>B404+1</f>
        <v>16</v>
      </c>
      <c r="C405" s="2586" t="s">
        <v>781</v>
      </c>
      <c r="D405" s="2444"/>
      <c r="E405" s="2444"/>
      <c r="F405" s="2614">
        <f t="shared" si="86"/>
        <v>0</v>
      </c>
      <c r="G405" s="2443"/>
      <c r="H405" s="2601"/>
      <c r="I405" s="2602">
        <f t="shared" si="87"/>
        <v>0</v>
      </c>
      <c r="J405" s="1152"/>
      <c r="K405" s="1152"/>
      <c r="L405" s="1152"/>
      <c r="M405" s="1150"/>
      <c r="N405" s="1151"/>
      <c r="O405" s="1151"/>
      <c r="P405" s="1139"/>
    </row>
    <row r="406" spans="2:22" ht="13.5" thickBot="1" x14ac:dyDescent="0.25">
      <c r="B406" s="2583">
        <f>B405+1</f>
        <v>17</v>
      </c>
      <c r="C406" s="1892" t="s">
        <v>890</v>
      </c>
      <c r="D406" s="2631" t="s">
        <v>619</v>
      </c>
      <c r="E406" s="2631">
        <v>1</v>
      </c>
      <c r="F406" s="2618">
        <f>E406*I$388</f>
        <v>0</v>
      </c>
      <c r="G406" s="2619">
        <f>F26</f>
        <v>0</v>
      </c>
      <c r="H406" s="2620"/>
      <c r="I406" s="2621">
        <f>F406*G406</f>
        <v>0</v>
      </c>
      <c r="J406" s="1174"/>
      <c r="K406" s="1153"/>
      <c r="L406" s="1153"/>
      <c r="M406" s="1154"/>
      <c r="N406" s="1155"/>
      <c r="O406" s="1155"/>
      <c r="P406" s="1139"/>
    </row>
    <row r="407" spans="2:22" x14ac:dyDescent="0.2">
      <c r="B407" s="2583">
        <f>B406+1</f>
        <v>18</v>
      </c>
      <c r="C407" s="2659"/>
      <c r="D407" s="2622"/>
      <c r="E407" s="2622"/>
      <c r="F407" s="2623">
        <f t="shared" ref="F407:F408" si="89">E407*I$362</f>
        <v>0</v>
      </c>
      <c r="G407" s="2624"/>
      <c r="H407" s="2605"/>
      <c r="I407" s="2606">
        <f t="shared" ref="I407:I408" si="90">F407*G407</f>
        <v>0</v>
      </c>
      <c r="J407" s="1704"/>
      <c r="K407" s="1153"/>
      <c r="L407" s="1153"/>
      <c r="M407" s="1154"/>
      <c r="N407" s="1155"/>
      <c r="O407" s="1155"/>
      <c r="P407" s="1139"/>
    </row>
    <row r="408" spans="2:22" ht="13.5" thickBot="1" x14ac:dyDescent="0.25">
      <c r="B408" s="2583">
        <f>B407+1</f>
        <v>19</v>
      </c>
      <c r="C408" s="29"/>
      <c r="D408" s="2444"/>
      <c r="E408" s="2444"/>
      <c r="F408" s="2614">
        <f t="shared" si="89"/>
        <v>0</v>
      </c>
      <c r="G408" s="2443"/>
      <c r="H408" s="2601"/>
      <c r="I408" s="2602">
        <f t="shared" si="90"/>
        <v>0</v>
      </c>
      <c r="J408" s="1704"/>
      <c r="K408" s="1153"/>
      <c r="L408" s="1153"/>
      <c r="M408" s="1154"/>
      <c r="N408" s="1155"/>
      <c r="O408" s="1155"/>
      <c r="P408" s="1139"/>
    </row>
    <row r="409" spans="2:22" ht="19.5" customHeight="1" thickBot="1" x14ac:dyDescent="0.25">
      <c r="B409" s="2584"/>
      <c r="C409" s="2650"/>
      <c r="D409" s="2651"/>
      <c r="E409" s="2651"/>
      <c r="F409" s="2652"/>
      <c r="G409" s="2653" t="s">
        <v>434</v>
      </c>
      <c r="H409" s="2654"/>
      <c r="I409" s="2655">
        <f>SUM(SUMIF(I390:I408,"&gt;0",I390:I408))</f>
        <v>0</v>
      </c>
      <c r="J409" s="1157"/>
      <c r="K409" s="1158"/>
      <c r="L409" s="1158"/>
      <c r="M409" s="1159"/>
      <c r="N409" s="1159"/>
      <c r="O409" s="1160"/>
      <c r="P409" s="1139"/>
    </row>
    <row r="410" spans="2:22" ht="19.5" customHeight="1" thickBot="1" x14ac:dyDescent="0.25">
      <c r="B410" s="2584"/>
      <c r="C410" s="1156"/>
      <c r="D410" s="345"/>
      <c r="E410" s="345"/>
      <c r="F410" s="2645"/>
      <c r="G410" s="2647" t="s">
        <v>126</v>
      </c>
      <c r="H410" s="2656"/>
      <c r="I410" s="2657">
        <f>IF(I388=0,0,I409/I388)</f>
        <v>0</v>
      </c>
      <c r="J410" s="1163"/>
      <c r="K410" s="1164"/>
      <c r="L410" s="1164"/>
      <c r="M410" s="1165"/>
      <c r="N410" s="1165"/>
      <c r="O410" s="1166"/>
      <c r="P410" s="1139"/>
    </row>
    <row r="411" spans="2:22" s="1138" customFormat="1" x14ac:dyDescent="0.2">
      <c r="C411" s="1156"/>
      <c r="D411" s="345"/>
      <c r="E411" s="345"/>
      <c r="F411" s="345"/>
      <c r="G411" s="345"/>
      <c r="H411" s="345"/>
      <c r="I411" s="1180"/>
      <c r="J411" s="345"/>
      <c r="K411" s="345"/>
      <c r="L411" s="345"/>
      <c r="M411" s="345"/>
      <c r="N411" s="345"/>
      <c r="O411" s="345"/>
      <c r="P411" s="1139"/>
      <c r="Q411" s="345"/>
      <c r="R411" s="345"/>
      <c r="S411" s="345"/>
      <c r="T411" s="345"/>
      <c r="U411" s="345"/>
      <c r="V411" s="345"/>
    </row>
    <row r="412" spans="2:22" x14ac:dyDescent="0.2">
      <c r="C412" s="1156"/>
      <c r="D412" s="345"/>
      <c r="E412" s="345"/>
      <c r="F412" s="345"/>
      <c r="G412" s="1181" t="s">
        <v>61</v>
      </c>
      <c r="H412" s="1809"/>
      <c r="I412" s="1182">
        <f>I409+I383+I358+I333+I310+I289+I268+I247+I226+I202+I179+I156+I132+I108+I84+H60</f>
        <v>0</v>
      </c>
      <c r="J412" s="1183"/>
      <c r="K412" s="1181" t="s">
        <v>125</v>
      </c>
      <c r="L412" s="1181"/>
      <c r="M412" s="1184">
        <f>M383+M358+M333+M310+M289+M268+M247+M226+M202+M179+M156+M132+M108+M84+M60</f>
        <v>48</v>
      </c>
      <c r="N412" s="1184">
        <f>N383+N358+N333+N310+N289+N268+N247+N226+N202+N179+N156+N132+N108+N84+N60</f>
        <v>0</v>
      </c>
      <c r="O412" s="1185">
        <f>O383+O358+O333+O310+O289+O268+O247+O226+O202+O179+O156+O132+O108+O84+O60</f>
        <v>0</v>
      </c>
      <c r="P412" s="1893"/>
    </row>
    <row r="413" spans="2:22" x14ac:dyDescent="0.2">
      <c r="C413" s="1156"/>
      <c r="D413" s="345"/>
      <c r="E413" s="345"/>
      <c r="F413" s="345"/>
      <c r="G413" s="1181" t="s">
        <v>131</v>
      </c>
      <c r="H413" s="1809"/>
      <c r="I413" s="1182" t="e">
        <f>I412/SOLO!I43</f>
        <v>#DIV/0!</v>
      </c>
      <c r="J413" s="1183"/>
      <c r="K413" s="1181" t="s">
        <v>127</v>
      </c>
      <c r="L413" s="1181"/>
      <c r="M413" s="1186" t="e">
        <f>M412/SOLO!$I$43</f>
        <v>#DIV/0!</v>
      </c>
      <c r="N413" s="1186" t="e">
        <f>N412/SOLO!$I$43</f>
        <v>#DIV/0!</v>
      </c>
      <c r="O413" s="1187" t="e">
        <f>O412/SOLO!$I$43</f>
        <v>#DIV/0!</v>
      </c>
      <c r="P413" s="1139"/>
    </row>
    <row r="414" spans="2:22" s="1138" customFormat="1" ht="23.25" customHeight="1" x14ac:dyDescent="0.2">
      <c r="C414" s="1156"/>
      <c r="D414" s="345"/>
      <c r="E414" s="345" t="s">
        <v>215</v>
      </c>
      <c r="F414" s="345"/>
      <c r="G414" s="347">
        <f>H60+I84+I108+I132+I156</f>
        <v>0</v>
      </c>
      <c r="H414" s="347"/>
      <c r="I414" s="1180"/>
      <c r="J414" s="345"/>
      <c r="K414" s="345"/>
      <c r="L414" s="345"/>
      <c r="M414" s="345"/>
      <c r="N414" s="345"/>
      <c r="O414" s="345"/>
      <c r="P414" s="1139"/>
      <c r="Q414" s="345"/>
      <c r="R414" s="345"/>
      <c r="S414" s="345"/>
      <c r="T414" s="345"/>
      <c r="U414" s="345"/>
      <c r="V414" s="345"/>
    </row>
    <row r="415" spans="2:22" s="1138" customFormat="1" ht="23.25" x14ac:dyDescent="0.35">
      <c r="C415" s="1156"/>
      <c r="D415" s="345"/>
      <c r="E415" s="345" t="s">
        <v>149</v>
      </c>
      <c r="F415" s="1188"/>
      <c r="G415" s="347">
        <f>I333+I310+I289+I268+I247+I226+I202+I179</f>
        <v>0</v>
      </c>
      <c r="H415" s="347"/>
      <c r="I415" s="1180"/>
      <c r="J415" s="345"/>
      <c r="K415" s="345"/>
      <c r="L415" s="345"/>
      <c r="M415" s="345"/>
      <c r="N415" s="345"/>
      <c r="O415" s="345"/>
      <c r="P415" s="1139"/>
      <c r="Q415" s="345"/>
      <c r="R415" s="345"/>
      <c r="S415" s="345"/>
      <c r="T415" s="345"/>
      <c r="U415" s="345"/>
      <c r="V415" s="345"/>
    </row>
    <row r="416" spans="2:22" s="1138" customFormat="1" ht="13.5" thickBot="1" x14ac:dyDescent="0.25">
      <c r="C416" s="1161"/>
      <c r="D416" s="1162"/>
      <c r="E416" s="1162" t="s">
        <v>150</v>
      </c>
      <c r="F416" s="1162"/>
      <c r="G416" s="1189">
        <f>I383+I358+I409</f>
        <v>0</v>
      </c>
      <c r="H416" s="1189"/>
      <c r="I416" s="1190"/>
      <c r="J416" s="1162"/>
      <c r="K416" s="1162"/>
      <c r="L416" s="1162"/>
      <c r="M416" s="1162"/>
      <c r="N416" s="1162"/>
      <c r="O416" s="1162"/>
      <c r="P416" s="1139"/>
      <c r="Q416" s="345"/>
      <c r="R416" s="345"/>
      <c r="S416" s="345"/>
      <c r="T416" s="345"/>
      <c r="U416" s="345"/>
      <c r="V416" s="345"/>
    </row>
    <row r="417" spans="2:22" s="1138" customFormat="1" x14ac:dyDescent="0.2">
      <c r="B417" s="1139"/>
      <c r="C417" s="1139"/>
      <c r="D417" s="1139"/>
      <c r="E417" s="1139"/>
      <c r="F417" s="1139"/>
      <c r="G417" s="1139"/>
      <c r="H417" s="1139"/>
      <c r="I417" s="1139"/>
      <c r="J417" s="1139"/>
      <c r="K417" s="1139"/>
      <c r="L417" s="1139"/>
      <c r="M417" s="1139"/>
      <c r="N417" s="1139"/>
      <c r="O417" s="1139"/>
      <c r="P417" s="1139"/>
      <c r="Q417" s="345"/>
      <c r="R417" s="345"/>
      <c r="S417" s="345"/>
      <c r="T417" s="345"/>
      <c r="U417" s="345"/>
      <c r="V417" s="345"/>
    </row>
    <row r="418" spans="2:22" s="1138" customFormat="1" ht="13.5" thickBot="1" x14ac:dyDescent="0.25">
      <c r="B418" s="1139"/>
      <c r="C418" s="1139"/>
      <c r="D418" s="1139"/>
      <c r="E418" s="1139"/>
      <c r="F418" s="1139"/>
      <c r="G418" s="1139"/>
      <c r="H418" s="1139"/>
      <c r="I418" s="1139"/>
      <c r="J418" s="1139"/>
      <c r="K418" s="1139"/>
      <c r="L418" s="1139"/>
      <c r="M418" s="1139"/>
      <c r="N418" s="1139"/>
      <c r="O418" s="1139"/>
      <c r="P418" s="1139"/>
      <c r="Q418" s="345"/>
      <c r="R418" s="345"/>
      <c r="S418" s="345"/>
      <c r="T418" s="345"/>
      <c r="U418" s="345"/>
      <c r="V418" s="345"/>
    </row>
    <row r="419" spans="2:22" s="1138" customFormat="1" ht="13.5" thickBot="1" x14ac:dyDescent="0.25">
      <c r="C419" s="2723" t="s">
        <v>1046</v>
      </c>
      <c r="D419" s="2730"/>
      <c r="E419" s="2730"/>
      <c r="F419" s="2730"/>
      <c r="G419" s="2730"/>
      <c r="H419" s="2730"/>
      <c r="I419" s="2730"/>
      <c r="J419" s="2724"/>
      <c r="P419" s="801"/>
      <c r="Q419" s="345"/>
      <c r="R419" s="345"/>
      <c r="S419" s="345"/>
      <c r="T419" s="345"/>
      <c r="U419" s="345"/>
      <c r="V419" s="345"/>
    </row>
    <row r="420" spans="2:22" s="1138" customFormat="1" x14ac:dyDescent="0.2">
      <c r="C420" s="2793"/>
      <c r="D420" s="2794"/>
      <c r="E420" s="2794"/>
      <c r="F420" s="2794"/>
      <c r="G420" s="2794"/>
      <c r="H420" s="2794"/>
      <c r="I420" s="2794"/>
      <c r="J420" s="2795"/>
      <c r="P420" s="801"/>
      <c r="Q420" s="345"/>
      <c r="R420" s="345"/>
      <c r="S420" s="345"/>
      <c r="T420" s="345"/>
      <c r="U420" s="345"/>
      <c r="V420" s="345"/>
    </row>
    <row r="421" spans="2:22" s="1138" customFormat="1" x14ac:dyDescent="0.2">
      <c r="C421" s="2793"/>
      <c r="D421" s="2794"/>
      <c r="E421" s="2794"/>
      <c r="F421" s="2794"/>
      <c r="G421" s="2794"/>
      <c r="H421" s="2794"/>
      <c r="I421" s="2794"/>
      <c r="J421" s="2795"/>
      <c r="P421" s="801"/>
      <c r="Q421" s="345"/>
      <c r="R421" s="345"/>
      <c r="S421" s="345"/>
      <c r="T421" s="345"/>
      <c r="U421" s="345"/>
      <c r="V421" s="345"/>
    </row>
    <row r="422" spans="2:22" s="1138" customFormat="1" x14ac:dyDescent="0.2">
      <c r="C422" s="2793"/>
      <c r="D422" s="2794"/>
      <c r="E422" s="2794"/>
      <c r="F422" s="2794"/>
      <c r="G422" s="2794"/>
      <c r="H422" s="2794"/>
      <c r="I422" s="2794"/>
      <c r="J422" s="2795"/>
      <c r="P422" s="801"/>
      <c r="Q422" s="345"/>
      <c r="R422" s="345"/>
      <c r="S422" s="345"/>
      <c r="T422" s="345"/>
      <c r="U422" s="345"/>
      <c r="V422" s="345"/>
    </row>
    <row r="423" spans="2:22" s="1138" customFormat="1" x14ac:dyDescent="0.2">
      <c r="C423" s="2793"/>
      <c r="D423" s="2794"/>
      <c r="E423" s="2794"/>
      <c r="F423" s="2794"/>
      <c r="G423" s="2794"/>
      <c r="H423" s="2794"/>
      <c r="I423" s="2794"/>
      <c r="J423" s="2795"/>
      <c r="P423" s="801"/>
      <c r="Q423" s="345"/>
      <c r="R423" s="345"/>
      <c r="S423" s="345"/>
      <c r="T423" s="345"/>
      <c r="U423" s="345"/>
      <c r="V423" s="345"/>
    </row>
    <row r="424" spans="2:22" s="1138" customFormat="1" x14ac:dyDescent="0.2">
      <c r="C424" s="2793"/>
      <c r="D424" s="2794"/>
      <c r="E424" s="2794"/>
      <c r="F424" s="2794"/>
      <c r="G424" s="2794"/>
      <c r="H424" s="2794"/>
      <c r="I424" s="2794"/>
      <c r="J424" s="2795"/>
      <c r="P424" s="801"/>
      <c r="Q424" s="345"/>
      <c r="R424" s="345"/>
      <c r="S424" s="345"/>
      <c r="T424" s="345"/>
      <c r="U424" s="345"/>
      <c r="V424" s="345"/>
    </row>
    <row r="425" spans="2:22" s="1138" customFormat="1" ht="13.5" thickBot="1" x14ac:dyDescent="0.25">
      <c r="C425" s="2796"/>
      <c r="D425" s="2797"/>
      <c r="E425" s="2797"/>
      <c r="F425" s="2797"/>
      <c r="G425" s="2797"/>
      <c r="H425" s="2797"/>
      <c r="I425" s="2797"/>
      <c r="J425" s="2798"/>
      <c r="P425" s="801"/>
      <c r="Q425" s="345"/>
      <c r="R425" s="345"/>
      <c r="S425" s="345"/>
      <c r="T425" s="345"/>
      <c r="U425" s="345"/>
      <c r="V425" s="345"/>
    </row>
    <row r="426" spans="2:22" s="1138" customFormat="1" x14ac:dyDescent="0.2">
      <c r="P426" s="801"/>
      <c r="Q426" s="345"/>
      <c r="R426" s="345"/>
      <c r="S426" s="345"/>
      <c r="T426" s="345"/>
      <c r="U426" s="345"/>
      <c r="V426" s="345"/>
    </row>
  </sheetData>
  <sheetProtection algorithmName="SHA-512" hashValue="fUoDbMOxNiqHRkyHwnYyf2TDUDOmNAU7BNTGflisqnFzCRxmcyxlm2H/Pvdnm6LSKL7l0FC/oSyzYxxARtBG3w==" saltValue="5f3N9IFqkY7LnwEK5xjD/g==" spinCount="100000" sheet="1" objects="1" scenarios="1"/>
  <mergeCells count="41">
    <mergeCell ref="J388:L388"/>
    <mergeCell ref="C419:J419"/>
    <mergeCell ref="C420:J425"/>
    <mergeCell ref="B4:P4"/>
    <mergeCell ref="B7:P7"/>
    <mergeCell ref="D34:F34"/>
    <mergeCell ref="H65:I65"/>
    <mergeCell ref="H41:I41"/>
    <mergeCell ref="H89:I89"/>
    <mergeCell ref="H183:I183"/>
    <mergeCell ref="H160:I160"/>
    <mergeCell ref="H137:I137"/>
    <mergeCell ref="H113:I113"/>
    <mergeCell ref="J136:L136"/>
    <mergeCell ref="J40:L40"/>
    <mergeCell ref="H10:I10"/>
    <mergeCell ref="J337:L337"/>
    <mergeCell ref="J362:L362"/>
    <mergeCell ref="J159:L159"/>
    <mergeCell ref="J182:L182"/>
    <mergeCell ref="J293:L293"/>
    <mergeCell ref="J206:L206"/>
    <mergeCell ref="J230:L230"/>
    <mergeCell ref="J251:L251"/>
    <mergeCell ref="J272:L272"/>
    <mergeCell ref="J316:L316"/>
    <mergeCell ref="J88:L88"/>
    <mergeCell ref="J112:L112"/>
    <mergeCell ref="J64:L64"/>
    <mergeCell ref="H14:I14"/>
    <mergeCell ref="H15:I15"/>
    <mergeCell ref="B32:I32"/>
    <mergeCell ref="C11:C15"/>
    <mergeCell ref="C16:C23"/>
    <mergeCell ref="C24:C27"/>
    <mergeCell ref="G11:G15"/>
    <mergeCell ref="G16:G23"/>
    <mergeCell ref="G24:G27"/>
    <mergeCell ref="H11:I11"/>
    <mergeCell ref="H12:I12"/>
    <mergeCell ref="H13:I13"/>
  </mergeCells>
  <phoneticPr fontId="50" type="noConversion"/>
  <conditionalFormatting sqref="F16">
    <cfRule type="expression" dxfId="18" priority="11" stopIfTrue="1">
      <formula>$I$16&lt;&gt;""</formula>
    </cfRule>
  </conditionalFormatting>
  <conditionalFormatting sqref="F17">
    <cfRule type="expression" dxfId="17" priority="10" stopIfTrue="1">
      <formula>$I$17&lt;&gt;""</formula>
    </cfRule>
  </conditionalFormatting>
  <conditionalFormatting sqref="F18">
    <cfRule type="expression" dxfId="16" priority="9" stopIfTrue="1">
      <formula>$I$18&lt;&gt;""</formula>
    </cfRule>
  </conditionalFormatting>
  <conditionalFormatting sqref="F19">
    <cfRule type="expression" dxfId="15" priority="8" stopIfTrue="1">
      <formula>$I$19&lt;&gt;""</formula>
    </cfRule>
  </conditionalFormatting>
  <conditionalFormatting sqref="F20">
    <cfRule type="expression" dxfId="14" priority="7" stopIfTrue="1">
      <formula>$I$20&lt;&gt;""</formula>
    </cfRule>
  </conditionalFormatting>
  <conditionalFormatting sqref="F21">
    <cfRule type="expression" dxfId="13" priority="6" stopIfTrue="1">
      <formula>$I$21&lt;&gt;""</formula>
    </cfRule>
  </conditionalFormatting>
  <conditionalFormatting sqref="F22">
    <cfRule type="expression" dxfId="12" priority="5" stopIfTrue="1">
      <formula>$I$22&lt;&gt;""</formula>
    </cfRule>
  </conditionalFormatting>
  <conditionalFormatting sqref="F23">
    <cfRule type="expression" dxfId="11" priority="4" stopIfTrue="1">
      <formula>$I$23&lt;&gt;""</formula>
    </cfRule>
  </conditionalFormatting>
  <conditionalFormatting sqref="F24">
    <cfRule type="expression" dxfId="10" priority="3" stopIfTrue="1">
      <formula>$I$24&lt;&gt;""</formula>
    </cfRule>
  </conditionalFormatting>
  <conditionalFormatting sqref="F27">
    <cfRule type="expression" dxfId="9" priority="2" stopIfTrue="1">
      <formula>$I$27&lt;&gt;""</formula>
    </cfRule>
  </conditionalFormatting>
  <conditionalFormatting sqref="F11">
    <cfRule type="expression" dxfId="8" priority="12" stopIfTrue="1">
      <formula>$P$11&lt;&gt;""</formula>
    </cfRule>
  </conditionalFormatting>
  <conditionalFormatting sqref="F12">
    <cfRule type="expression" dxfId="7" priority="13" stopIfTrue="1">
      <formula>$P$12&lt;&gt;""</formula>
    </cfRule>
  </conditionalFormatting>
  <conditionalFormatting sqref="F13">
    <cfRule type="expression" dxfId="6" priority="14" stopIfTrue="1">
      <formula>$H$13&lt;&gt;""</formula>
    </cfRule>
    <cfRule type="expression" dxfId="5" priority="15" stopIfTrue="1">
      <formula>$H$13&lt;&gt;""</formula>
    </cfRule>
  </conditionalFormatting>
  <conditionalFormatting sqref="F14">
    <cfRule type="expression" dxfId="4" priority="16" stopIfTrue="1">
      <formula>$P$14&lt;&gt;""</formula>
    </cfRule>
  </conditionalFormatting>
  <conditionalFormatting sqref="F15">
    <cfRule type="expression" dxfId="3" priority="17" stopIfTrue="1">
      <formula>$P$15&lt;&gt;""</formula>
    </cfRule>
  </conditionalFormatting>
  <conditionalFormatting sqref="F25:F26">
    <cfRule type="expression" dxfId="2" priority="1" stopIfTrue="1">
      <formula>$I$22&lt;&gt;""</formula>
    </cfRule>
  </conditionalFormatting>
  <pageMargins left="0.19685039370078741" right="0.31496062992125984" top="0.39370078740157483" bottom="0.39370078740157483" header="0.51181102362204722" footer="0.51181102362204722"/>
  <pageSetup paperSize="9" scale="78" fitToHeight="0" orientation="portrait" horizontalDpi="4294967293" r:id="rId1"/>
  <headerFooter alignWithMargins="0"/>
  <rowBreaks count="3" manualBreakCount="3">
    <brk id="180" min="2" max="13" man="1"/>
    <brk id="249" min="2" max="13" man="1"/>
    <brk id="313" min="2" max="13" man="1"/>
  </rowBreaks>
  <colBreaks count="1" manualBreakCount="1">
    <brk id="15"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1">
    <tabColor rgb="FFFFFF00"/>
  </sheetPr>
  <dimension ref="A1:T114"/>
  <sheetViews>
    <sheetView zoomScaleNormal="100" workbookViewId="0">
      <selection activeCell="I27" sqref="I27"/>
    </sheetView>
  </sheetViews>
  <sheetFormatPr defaultColWidth="11.42578125" defaultRowHeight="15" x14ac:dyDescent="0.2"/>
  <cols>
    <col min="1" max="1" width="3" style="340" customWidth="1"/>
    <col min="2" max="2" width="22.7109375" style="342" customWidth="1"/>
    <col min="3" max="3" width="18.42578125" style="342" customWidth="1"/>
    <col min="4" max="4" width="21.5703125" style="342" customWidth="1"/>
    <col min="5" max="5" width="19.28515625" style="342" customWidth="1"/>
    <col min="6" max="6" width="21" style="342" customWidth="1"/>
    <col min="7" max="7" width="18.42578125" style="342" customWidth="1"/>
    <col min="8" max="8" width="18.85546875" style="342" customWidth="1"/>
    <col min="9" max="9" width="18.140625" style="342" customWidth="1"/>
    <col min="10" max="10" width="6" style="342" customWidth="1"/>
    <col min="11" max="11" width="6" style="342" hidden="1" customWidth="1"/>
    <col min="12" max="12" width="8.5703125" style="342" hidden="1" customWidth="1"/>
    <col min="13" max="13" width="8.42578125" style="342" hidden="1" customWidth="1"/>
    <col min="14" max="14" width="0" style="342" hidden="1" customWidth="1"/>
    <col min="15" max="15" width="8.42578125" style="342" hidden="1" customWidth="1"/>
    <col min="16" max="16" width="8.85546875" style="342" hidden="1" customWidth="1"/>
    <col min="17" max="17" width="18.5703125" style="342" customWidth="1"/>
    <col min="18" max="16384" width="11.42578125" style="342"/>
  </cols>
  <sheetData>
    <row r="1" spans="1:20" ht="6" customHeight="1" thickBot="1" x14ac:dyDescent="0.25">
      <c r="B1" s="340"/>
      <c r="C1" s="340"/>
      <c r="D1" s="340"/>
      <c r="E1" s="340"/>
      <c r="F1" s="340"/>
      <c r="G1" s="340"/>
      <c r="H1" s="340"/>
      <c r="I1" s="340"/>
      <c r="J1" s="340"/>
      <c r="K1" s="340"/>
      <c r="L1" s="340"/>
      <c r="M1" s="340"/>
      <c r="N1" s="340"/>
      <c r="O1" s="340"/>
      <c r="P1" s="340"/>
      <c r="Q1" s="340"/>
      <c r="R1" s="340"/>
      <c r="S1" s="340"/>
      <c r="T1" s="340"/>
    </row>
    <row r="2" spans="1:20" ht="21" customHeight="1" thickBot="1" x14ac:dyDescent="0.3">
      <c r="B2" s="2660" t="str">
        <f>CADASTRO!C4</f>
        <v>Digitar o nome</v>
      </c>
      <c r="C2" s="2661"/>
      <c r="D2" s="2661"/>
      <c r="E2" s="2661" t="str">
        <f>CADASTRO!C6</f>
        <v>Digitar o município</v>
      </c>
      <c r="F2" s="2661"/>
      <c r="G2" s="2661"/>
      <c r="H2" s="2662">
        <f>CADASTRO!C12</f>
        <v>44013</v>
      </c>
      <c r="I2" s="2663">
        <f>CADASTRO!C14</f>
        <v>44377</v>
      </c>
      <c r="J2" s="343"/>
      <c r="K2" s="343" t="s">
        <v>56</v>
      </c>
      <c r="L2" s="343" t="s">
        <v>56</v>
      </c>
      <c r="M2" s="343" t="s">
        <v>56</v>
      </c>
      <c r="N2" s="343" t="s">
        <v>56</v>
      </c>
      <c r="O2" s="343" t="s">
        <v>56</v>
      </c>
      <c r="P2" s="343" t="s">
        <v>56</v>
      </c>
      <c r="Q2" s="340"/>
      <c r="R2" s="340"/>
      <c r="S2" s="340"/>
      <c r="T2" s="340"/>
    </row>
    <row r="3" spans="1:20" s="340" customFormat="1" ht="6.75" customHeight="1" thickBot="1" x14ac:dyDescent="0.25"/>
    <row r="4" spans="1:20" ht="24" customHeight="1" thickBot="1" x14ac:dyDescent="0.3">
      <c r="B4" s="2946" t="s">
        <v>1073</v>
      </c>
      <c r="C4" s="2947"/>
      <c r="D4" s="2947"/>
      <c r="E4" s="2947"/>
      <c r="F4" s="2947"/>
      <c r="G4" s="2947"/>
      <c r="H4" s="2947"/>
      <c r="I4" s="2948"/>
      <c r="J4" s="343"/>
      <c r="K4" s="343" t="s">
        <v>56</v>
      </c>
      <c r="L4" s="343" t="s">
        <v>56</v>
      </c>
      <c r="M4" s="343" t="s">
        <v>56</v>
      </c>
      <c r="N4" s="343" t="s">
        <v>56</v>
      </c>
      <c r="O4" s="343" t="s">
        <v>56</v>
      </c>
      <c r="P4" s="343" t="s">
        <v>56</v>
      </c>
      <c r="Q4" s="340"/>
      <c r="R4" s="340"/>
      <c r="S4" s="340"/>
      <c r="T4" s="340"/>
    </row>
    <row r="5" spans="1:20" s="340" customFormat="1" ht="11.25" customHeight="1" thickBot="1" x14ac:dyDescent="0.25"/>
    <row r="6" spans="1:20" ht="46.9" customHeight="1" thickBot="1" x14ac:dyDescent="0.3">
      <c r="B6" s="2991" t="s">
        <v>1023</v>
      </c>
      <c r="C6" s="2408" t="s">
        <v>1024</v>
      </c>
      <c r="D6" s="2305" t="s">
        <v>1026</v>
      </c>
      <c r="E6" s="2409" t="s">
        <v>1027</v>
      </c>
      <c r="F6" s="2410" t="s">
        <v>1025</v>
      </c>
      <c r="G6" s="2411" t="s">
        <v>1038</v>
      </c>
      <c r="H6" s="1191"/>
      <c r="I6" s="1196"/>
      <c r="J6" s="343"/>
      <c r="K6" s="343" t="s">
        <v>56</v>
      </c>
      <c r="L6" s="343" t="s">
        <v>56</v>
      </c>
      <c r="M6" s="343" t="s">
        <v>56</v>
      </c>
      <c r="N6" s="343" t="s">
        <v>56</v>
      </c>
      <c r="O6" s="343" t="s">
        <v>56</v>
      </c>
      <c r="P6" s="343" t="s">
        <v>56</v>
      </c>
      <c r="Q6" s="340"/>
      <c r="R6" s="340"/>
      <c r="S6" s="340"/>
      <c r="T6" s="340"/>
    </row>
    <row r="7" spans="1:20" ht="15.75" x14ac:dyDescent="0.25">
      <c r="B7" s="2969"/>
      <c r="C7" s="2404">
        <f>SOLO!G9</f>
        <v>0</v>
      </c>
      <c r="D7" s="2413">
        <f>PRODUÇÃO!J9</f>
        <v>0</v>
      </c>
      <c r="E7" s="2405"/>
      <c r="F7" s="2406" t="str">
        <f>IF(E7&gt;D7,"ERRO utilizado não pode ser maior estoque","certo")</f>
        <v>certo</v>
      </c>
      <c r="G7" s="2407">
        <f>D7-E7</f>
        <v>0</v>
      </c>
      <c r="H7" s="1192"/>
      <c r="I7" s="1192"/>
      <c r="J7" s="343"/>
      <c r="K7" s="343" t="s">
        <v>56</v>
      </c>
      <c r="L7" s="343" t="s">
        <v>56</v>
      </c>
      <c r="M7" s="343" t="s">
        <v>56</v>
      </c>
      <c r="N7" s="343" t="s">
        <v>56</v>
      </c>
      <c r="O7" s="343" t="s">
        <v>56</v>
      </c>
      <c r="P7" s="343" t="s">
        <v>56</v>
      </c>
      <c r="Q7" s="340"/>
      <c r="R7" s="340"/>
      <c r="S7" s="340"/>
      <c r="T7" s="340"/>
    </row>
    <row r="8" spans="1:20" ht="15.75" x14ac:dyDescent="0.25">
      <c r="B8" s="2969"/>
      <c r="C8" s="2395">
        <f>SOLO!G10</f>
        <v>0</v>
      </c>
      <c r="D8" s="2414">
        <f>PRODUÇÃO!J10</f>
        <v>0</v>
      </c>
      <c r="E8" s="2396"/>
      <c r="F8" s="2397" t="str">
        <f>IF(E8&gt;D8,"ERRO utilizado não pode ser maior estoque","certo")</f>
        <v>certo</v>
      </c>
      <c r="G8" s="2401">
        <f>D8-E8</f>
        <v>0</v>
      </c>
      <c r="H8" s="1192"/>
      <c r="I8" s="1192"/>
      <c r="J8" s="343"/>
      <c r="K8" s="343" t="s">
        <v>56</v>
      </c>
      <c r="L8" s="343" t="s">
        <v>56</v>
      </c>
      <c r="M8" s="343" t="s">
        <v>56</v>
      </c>
      <c r="N8" s="343" t="s">
        <v>56</v>
      </c>
      <c r="O8" s="343" t="s">
        <v>56</v>
      </c>
      <c r="P8" s="343" t="s">
        <v>56</v>
      </c>
      <c r="Q8" s="340"/>
      <c r="R8" s="340"/>
      <c r="S8" s="340"/>
      <c r="T8" s="340"/>
    </row>
    <row r="9" spans="1:20" ht="15.75" x14ac:dyDescent="0.25">
      <c r="B9" s="2969"/>
      <c r="C9" s="2395">
        <f>SOLO!G11</f>
        <v>0</v>
      </c>
      <c r="D9" s="2414">
        <f>PRODUÇÃO!J11</f>
        <v>0</v>
      </c>
      <c r="E9" s="2396"/>
      <c r="F9" s="2397" t="str">
        <f>IF(E9&gt;D9,"ERRO utilizado não pode ser maior estoque","certo")</f>
        <v>certo</v>
      </c>
      <c r="G9" s="2401">
        <f>D9-E9</f>
        <v>0</v>
      </c>
      <c r="H9" s="1192"/>
      <c r="I9" s="1192"/>
      <c r="J9" s="343"/>
      <c r="K9" s="343" t="s">
        <v>56</v>
      </c>
      <c r="L9" s="343" t="s">
        <v>56</v>
      </c>
      <c r="M9" s="343" t="s">
        <v>56</v>
      </c>
      <c r="N9" s="343" t="s">
        <v>56</v>
      </c>
      <c r="O9" s="343" t="s">
        <v>56</v>
      </c>
      <c r="P9" s="343" t="s">
        <v>56</v>
      </c>
      <c r="Q9" s="340"/>
      <c r="R9" s="340"/>
      <c r="S9" s="340"/>
      <c r="T9" s="340"/>
    </row>
    <row r="10" spans="1:20" ht="15.75" x14ac:dyDescent="0.25">
      <c r="B10" s="2969"/>
      <c r="C10" s="2395">
        <f>SOLO!G13</f>
        <v>0</v>
      </c>
      <c r="D10" s="2414">
        <f>PRODUÇÃO!J12</f>
        <v>0</v>
      </c>
      <c r="E10" s="2396"/>
      <c r="F10" s="2397" t="str">
        <f>IF(E10&gt;D10,"ERRO utilizado não pode ser maior estoque","certo")</f>
        <v>certo</v>
      </c>
      <c r="G10" s="2401">
        <f>D10-E10</f>
        <v>0</v>
      </c>
      <c r="H10" s="1192"/>
      <c r="I10" s="1192"/>
      <c r="J10" s="343"/>
      <c r="K10" s="343" t="s">
        <v>56</v>
      </c>
      <c r="L10" s="343" t="s">
        <v>56</v>
      </c>
      <c r="M10" s="343" t="s">
        <v>56</v>
      </c>
      <c r="N10" s="343" t="s">
        <v>56</v>
      </c>
      <c r="O10" s="343" t="s">
        <v>56</v>
      </c>
      <c r="P10" s="343" t="s">
        <v>56</v>
      </c>
      <c r="Q10" s="340"/>
      <c r="R10" s="340"/>
      <c r="S10" s="340"/>
      <c r="T10" s="340"/>
    </row>
    <row r="11" spans="1:20" ht="16.5" thickBot="1" x14ac:dyDescent="0.3">
      <c r="B11" s="2970"/>
      <c r="C11" s="2398">
        <f>SOLO!G14</f>
        <v>0</v>
      </c>
      <c r="D11" s="2415">
        <f>PRODUÇÃO!J13</f>
        <v>0</v>
      </c>
      <c r="E11" s="2399"/>
      <c r="F11" s="2400" t="str">
        <f>IF(E11&gt;D11,"ERRO utilizado não pode ser maior estoque","certo")</f>
        <v>certo</v>
      </c>
      <c r="G11" s="2402">
        <f>D11-E11</f>
        <v>0</v>
      </c>
      <c r="H11" s="1192"/>
      <c r="I11" s="1192"/>
      <c r="J11" s="343"/>
      <c r="K11" s="343" t="s">
        <v>56</v>
      </c>
      <c r="L11" s="343" t="s">
        <v>56</v>
      </c>
      <c r="M11" s="343" t="s">
        <v>56</v>
      </c>
      <c r="N11" s="343" t="s">
        <v>56</v>
      </c>
      <c r="O11" s="343" t="s">
        <v>56</v>
      </c>
      <c r="P11" s="343" t="s">
        <v>56</v>
      </c>
      <c r="Q11" s="340"/>
      <c r="R11" s="340"/>
      <c r="S11" s="340"/>
      <c r="T11" s="340"/>
    </row>
    <row r="12" spans="1:20" ht="22.5" customHeight="1" thickBot="1" x14ac:dyDescent="0.3">
      <c r="A12" s="341"/>
      <c r="B12" s="344"/>
      <c r="C12" s="344"/>
      <c r="D12" s="2423" t="s">
        <v>434</v>
      </c>
      <c r="E12" s="2424">
        <f>SUM(E7:E11)</f>
        <v>0</v>
      </c>
      <c r="F12" s="2403"/>
      <c r="G12" s="341"/>
      <c r="H12" s="1197"/>
      <c r="I12" s="1197"/>
      <c r="J12" s="343"/>
      <c r="K12" s="343" t="s">
        <v>56</v>
      </c>
      <c r="L12" s="343" t="s">
        <v>56</v>
      </c>
      <c r="M12" s="343" t="s">
        <v>56</v>
      </c>
      <c r="N12" s="343" t="s">
        <v>56</v>
      </c>
      <c r="O12" s="343" t="s">
        <v>56</v>
      </c>
      <c r="P12" s="343" t="s">
        <v>56</v>
      </c>
      <c r="Q12" s="340"/>
      <c r="R12" s="340"/>
      <c r="S12" s="340"/>
      <c r="T12" s="340"/>
    </row>
    <row r="13" spans="1:20" ht="16.5" thickBot="1" x14ac:dyDescent="0.3">
      <c r="A13" s="341"/>
      <c r="B13" s="344"/>
      <c r="C13" s="344"/>
      <c r="D13" s="344"/>
      <c r="E13" s="344"/>
      <c r="F13" s="344"/>
      <c r="G13" s="1194"/>
      <c r="H13" s="341"/>
      <c r="I13" s="341"/>
      <c r="J13" s="343"/>
      <c r="K13" s="343" t="s">
        <v>56</v>
      </c>
      <c r="L13" s="343" t="s">
        <v>56</v>
      </c>
      <c r="M13" s="343" t="s">
        <v>56</v>
      </c>
      <c r="N13" s="343" t="s">
        <v>56</v>
      </c>
      <c r="O13" s="343" t="s">
        <v>56</v>
      </c>
      <c r="P13" s="343" t="s">
        <v>56</v>
      </c>
      <c r="Q13" s="340"/>
      <c r="R13" s="340"/>
      <c r="S13" s="340"/>
      <c r="T13" s="340"/>
    </row>
    <row r="14" spans="1:20" ht="45.75" customHeight="1" thickBot="1" x14ac:dyDescent="0.3">
      <c r="B14" s="2991" t="s">
        <v>1028</v>
      </c>
      <c r="C14" s="2995" t="s">
        <v>1036</v>
      </c>
      <c r="D14" s="2996"/>
      <c r="E14" s="2416" t="s">
        <v>1029</v>
      </c>
      <c r="F14" s="2416" t="s">
        <v>1030</v>
      </c>
      <c r="G14" s="2417" t="s">
        <v>134</v>
      </c>
      <c r="H14" s="1196"/>
      <c r="I14" s="1196"/>
      <c r="J14" s="343"/>
      <c r="K14" s="343" t="s">
        <v>56</v>
      </c>
      <c r="L14" s="343" t="s">
        <v>56</v>
      </c>
      <c r="M14" s="343" t="s">
        <v>56</v>
      </c>
      <c r="N14" s="343" t="s">
        <v>56</v>
      </c>
      <c r="O14" s="343" t="s">
        <v>56</v>
      </c>
      <c r="P14" s="343" t="s">
        <v>56</v>
      </c>
      <c r="Q14" s="340"/>
      <c r="R14" s="340"/>
      <c r="S14" s="340"/>
      <c r="T14" s="340"/>
    </row>
    <row r="15" spans="1:20" ht="15.75" x14ac:dyDescent="0.25">
      <c r="B15" s="2997"/>
      <c r="C15" s="2992"/>
      <c r="D15" s="2993"/>
      <c r="E15" s="2418"/>
      <c r="F15" s="2438">
        <f>IF(OR(E15=0,G15=0),0,G15/E15)</f>
        <v>0</v>
      </c>
      <c r="G15" s="2425"/>
      <c r="H15" s="1192"/>
      <c r="I15" s="1192"/>
      <c r="J15" s="343"/>
      <c r="K15" s="343" t="s">
        <v>56</v>
      </c>
      <c r="L15" s="343" t="s">
        <v>56</v>
      </c>
      <c r="M15" s="343" t="s">
        <v>56</v>
      </c>
      <c r="N15" s="343" t="s">
        <v>56</v>
      </c>
      <c r="O15" s="343" t="s">
        <v>56</v>
      </c>
      <c r="P15" s="343" t="s">
        <v>56</v>
      </c>
      <c r="Q15" s="340"/>
      <c r="R15" s="340"/>
      <c r="S15" s="340"/>
      <c r="T15" s="340"/>
    </row>
    <row r="16" spans="1:20" ht="15.75" x14ac:dyDescent="0.25">
      <c r="B16" s="2997"/>
      <c r="C16" s="2994"/>
      <c r="D16" s="2983"/>
      <c r="E16" s="2419"/>
      <c r="F16" s="2439">
        <f t="shared" ref="F16:F19" si="0">IF(OR(E16=0,G16=0),0,G16/E16)</f>
        <v>0</v>
      </c>
      <c r="G16" s="2426"/>
      <c r="H16" s="1192"/>
      <c r="I16" s="1192"/>
      <c r="J16" s="343"/>
      <c r="K16" s="343" t="s">
        <v>56</v>
      </c>
      <c r="L16" s="343" t="s">
        <v>56</v>
      </c>
      <c r="M16" s="343" t="s">
        <v>56</v>
      </c>
      <c r="N16" s="343" t="s">
        <v>56</v>
      </c>
      <c r="O16" s="343" t="s">
        <v>56</v>
      </c>
      <c r="P16" s="343" t="s">
        <v>56</v>
      </c>
      <c r="Q16" s="340"/>
      <c r="R16" s="340"/>
      <c r="S16" s="340"/>
      <c r="T16" s="340"/>
    </row>
    <row r="17" spans="1:20" ht="15.75" x14ac:dyDescent="0.25">
      <c r="B17" s="2997"/>
      <c r="C17" s="2994"/>
      <c r="D17" s="2983"/>
      <c r="E17" s="2419"/>
      <c r="F17" s="2439">
        <f t="shared" si="0"/>
        <v>0</v>
      </c>
      <c r="G17" s="2426"/>
      <c r="H17" s="1192"/>
      <c r="I17" s="1192"/>
      <c r="J17" s="343"/>
      <c r="K17" s="343" t="s">
        <v>56</v>
      </c>
      <c r="L17" s="343" t="s">
        <v>56</v>
      </c>
      <c r="M17" s="343" t="s">
        <v>56</v>
      </c>
      <c r="N17" s="343" t="s">
        <v>56</v>
      </c>
      <c r="O17" s="343" t="s">
        <v>56</v>
      </c>
      <c r="P17" s="343" t="s">
        <v>56</v>
      </c>
      <c r="Q17" s="340"/>
      <c r="R17" s="340"/>
      <c r="S17" s="340"/>
      <c r="T17" s="340"/>
    </row>
    <row r="18" spans="1:20" ht="15.75" x14ac:dyDescent="0.25">
      <c r="B18" s="2997"/>
      <c r="C18" s="2994"/>
      <c r="D18" s="2983"/>
      <c r="E18" s="2419"/>
      <c r="F18" s="2439">
        <f t="shared" si="0"/>
        <v>0</v>
      </c>
      <c r="G18" s="2426"/>
      <c r="H18" s="1192"/>
      <c r="I18" s="1192"/>
      <c r="J18" s="343"/>
      <c r="K18" s="343" t="s">
        <v>56</v>
      </c>
      <c r="L18" s="343" t="s">
        <v>56</v>
      </c>
      <c r="M18" s="343" t="s">
        <v>56</v>
      </c>
      <c r="N18" s="343" t="s">
        <v>56</v>
      </c>
      <c r="O18" s="343" t="s">
        <v>56</v>
      </c>
      <c r="P18" s="343" t="s">
        <v>56</v>
      </c>
      <c r="Q18" s="340"/>
      <c r="R18" s="340"/>
      <c r="S18" s="340"/>
      <c r="T18" s="340"/>
    </row>
    <row r="19" spans="1:20" ht="16.5" thickBot="1" x14ac:dyDescent="0.3">
      <c r="B19" s="2998"/>
      <c r="C19" s="2986"/>
      <c r="D19" s="2987"/>
      <c r="E19" s="2422"/>
      <c r="F19" s="2440">
        <f t="shared" si="0"/>
        <v>0</v>
      </c>
      <c r="G19" s="2427"/>
      <c r="H19" s="1192"/>
      <c r="I19" s="1192"/>
      <c r="J19" s="343"/>
      <c r="K19" s="343" t="s">
        <v>56</v>
      </c>
      <c r="L19" s="343" t="s">
        <v>56</v>
      </c>
      <c r="M19" s="343" t="s">
        <v>56</v>
      </c>
      <c r="N19" s="343" t="s">
        <v>56</v>
      </c>
      <c r="O19" s="343" t="s">
        <v>56</v>
      </c>
      <c r="P19" s="343" t="s">
        <v>56</v>
      </c>
      <c r="Q19" s="340"/>
      <c r="R19" s="340"/>
      <c r="S19" s="340"/>
      <c r="T19" s="340"/>
    </row>
    <row r="20" spans="1:20" ht="23.25" customHeight="1" thickBot="1" x14ac:dyDescent="0.3">
      <c r="B20" s="2420"/>
      <c r="C20" s="341"/>
      <c r="D20" s="1195"/>
      <c r="E20" s="2428">
        <f>SUM(E15:E19)</f>
        <v>0</v>
      </c>
      <c r="F20" s="2448" t="s">
        <v>434</v>
      </c>
      <c r="G20" s="2421">
        <f>SUM(G15:G19)</f>
        <v>0</v>
      </c>
      <c r="H20" s="1197"/>
      <c r="I20" s="1192"/>
      <c r="J20" s="343"/>
      <c r="K20" s="343" t="s">
        <v>56</v>
      </c>
      <c r="L20" s="343" t="s">
        <v>56</v>
      </c>
      <c r="M20" s="343" t="s">
        <v>56</v>
      </c>
      <c r="N20" s="343" t="s">
        <v>56</v>
      </c>
      <c r="O20" s="343" t="s">
        <v>56</v>
      </c>
      <c r="P20" s="343" t="s">
        <v>56</v>
      </c>
      <c r="Q20" s="340"/>
      <c r="R20" s="340"/>
      <c r="S20" s="340"/>
      <c r="T20" s="340"/>
    </row>
    <row r="21" spans="1:20" ht="15.75" hidden="1" x14ac:dyDescent="0.25">
      <c r="A21" s="341"/>
      <c r="B21" s="2412"/>
      <c r="C21" s="341"/>
      <c r="D21" s="341"/>
      <c r="E21" s="1198"/>
      <c r="F21" s="1199"/>
      <c r="G21" s="1197"/>
      <c r="H21" s="1197"/>
      <c r="I21" s="1192"/>
      <c r="J21" s="343"/>
      <c r="K21" s="343"/>
      <c r="L21" s="343"/>
      <c r="M21" s="343"/>
      <c r="N21" s="343"/>
      <c r="O21" s="343"/>
      <c r="P21" s="343"/>
      <c r="Q21" s="340"/>
      <c r="R21" s="340"/>
      <c r="S21" s="340"/>
      <c r="T21" s="340"/>
    </row>
    <row r="22" spans="1:20" ht="16.5" thickBot="1" x14ac:dyDescent="0.3">
      <c r="A22" s="341"/>
      <c r="B22" s="341"/>
      <c r="C22" s="341"/>
      <c r="D22" s="341"/>
      <c r="E22" s="341"/>
      <c r="F22" s="341"/>
      <c r="G22" s="341"/>
      <c r="H22" s="341"/>
      <c r="I22" s="1193"/>
      <c r="J22" s="343"/>
      <c r="K22" s="343" t="s">
        <v>56</v>
      </c>
      <c r="L22" s="343" t="s">
        <v>56</v>
      </c>
      <c r="M22" s="343" t="s">
        <v>56</v>
      </c>
      <c r="N22" s="343" t="s">
        <v>56</v>
      </c>
      <c r="O22" s="343" t="s">
        <v>56</v>
      </c>
      <c r="P22" s="343" t="s">
        <v>56</v>
      </c>
      <c r="Q22" s="340"/>
    </row>
    <row r="23" spans="1:20" ht="42.75" customHeight="1" thickBot="1" x14ac:dyDescent="0.3">
      <c r="B23" s="2968" t="s">
        <v>137</v>
      </c>
      <c r="C23" s="2978" t="s">
        <v>97</v>
      </c>
      <c r="D23" s="2978"/>
      <c r="E23" s="2979"/>
      <c r="F23" s="2432" t="s">
        <v>754</v>
      </c>
      <c r="G23" s="2432" t="s">
        <v>110</v>
      </c>
      <c r="H23" s="2449" t="s">
        <v>1037</v>
      </c>
      <c r="I23" s="2411" t="s">
        <v>407</v>
      </c>
      <c r="J23" s="343"/>
      <c r="K23" s="343" t="s">
        <v>56</v>
      </c>
      <c r="L23" s="343" t="s">
        <v>56</v>
      </c>
      <c r="M23" s="343" t="s">
        <v>56</v>
      </c>
      <c r="N23" s="343" t="s">
        <v>56</v>
      </c>
      <c r="O23" s="343" t="s">
        <v>56</v>
      </c>
      <c r="P23" s="343" t="s">
        <v>56</v>
      </c>
      <c r="Q23" s="340"/>
      <c r="R23" s="340"/>
      <c r="S23" s="340"/>
      <c r="T23" s="340"/>
    </row>
    <row r="24" spans="1:20" ht="15.75" x14ac:dyDescent="0.25">
      <c r="B24" s="2969"/>
      <c r="C24" s="2965" t="s">
        <v>1031</v>
      </c>
      <c r="D24" s="2966"/>
      <c r="E24" s="2967"/>
      <c r="F24" s="2684"/>
      <c r="G24" s="2684"/>
      <c r="H24" s="2685"/>
      <c r="I24" s="2436"/>
      <c r="J24" s="343"/>
      <c r="K24" s="343" t="s">
        <v>56</v>
      </c>
      <c r="L24" s="343" t="s">
        <v>56</v>
      </c>
      <c r="M24" s="343" t="s">
        <v>56</v>
      </c>
      <c r="N24" s="343" t="s">
        <v>56</v>
      </c>
      <c r="O24" s="343" t="s">
        <v>56</v>
      </c>
      <c r="P24" s="343" t="s">
        <v>56</v>
      </c>
      <c r="Q24" s="340"/>
      <c r="R24" s="340"/>
      <c r="S24" s="340"/>
      <c r="T24" s="340"/>
    </row>
    <row r="25" spans="1:20" ht="15.75" x14ac:dyDescent="0.25">
      <c r="B25" s="2969"/>
      <c r="C25" s="2975" t="s">
        <v>1032</v>
      </c>
      <c r="D25" s="2976"/>
      <c r="E25" s="2977"/>
      <c r="F25" s="2445" t="s">
        <v>177</v>
      </c>
      <c r="G25" s="2444"/>
      <c r="H25" s="2443"/>
      <c r="I25" s="2683">
        <f>G25*H25</f>
        <v>0</v>
      </c>
      <c r="J25" s="343"/>
      <c r="K25" s="343" t="s">
        <v>56</v>
      </c>
      <c r="L25" s="343" t="s">
        <v>56</v>
      </c>
      <c r="M25" s="343" t="s">
        <v>56</v>
      </c>
      <c r="N25" s="343" t="s">
        <v>56</v>
      </c>
      <c r="O25" s="343" t="s">
        <v>56</v>
      </c>
      <c r="P25" s="343" t="s">
        <v>56</v>
      </c>
      <c r="Q25" s="340"/>
      <c r="R25" s="340"/>
      <c r="S25" s="340"/>
      <c r="T25" s="340"/>
    </row>
    <row r="26" spans="1:20" ht="15.75" x14ac:dyDescent="0.25">
      <c r="B26" s="2969"/>
      <c r="C26" s="2975" t="s">
        <v>1033</v>
      </c>
      <c r="D26" s="2976"/>
      <c r="E26" s="2977"/>
      <c r="F26" s="2686"/>
      <c r="G26" s="2686"/>
      <c r="H26" s="2687"/>
      <c r="I26" s="2435"/>
      <c r="J26" s="343"/>
      <c r="K26" s="343" t="s">
        <v>56</v>
      </c>
      <c r="L26" s="343" t="s">
        <v>56</v>
      </c>
      <c r="M26" s="343" t="s">
        <v>56</v>
      </c>
      <c r="N26" s="343" t="s">
        <v>56</v>
      </c>
      <c r="O26" s="343" t="s">
        <v>56</v>
      </c>
      <c r="P26" s="343" t="s">
        <v>56</v>
      </c>
      <c r="Q26" s="340"/>
      <c r="R26" s="340"/>
      <c r="S26" s="340"/>
      <c r="T26" s="340"/>
    </row>
    <row r="27" spans="1:20" ht="16.5" customHeight="1" x14ac:dyDescent="0.25">
      <c r="B27" s="2969"/>
      <c r="C27" s="2975" t="s">
        <v>1034</v>
      </c>
      <c r="D27" s="2976"/>
      <c r="E27" s="2977"/>
      <c r="F27" s="2686"/>
      <c r="G27" s="2686"/>
      <c r="H27" s="2687"/>
      <c r="I27" s="2435"/>
      <c r="J27" s="343"/>
      <c r="K27" s="343" t="s">
        <v>56</v>
      </c>
      <c r="L27" s="343" t="s">
        <v>56</v>
      </c>
      <c r="M27" s="343" t="s">
        <v>56</v>
      </c>
      <c r="N27" s="343" t="s">
        <v>56</v>
      </c>
      <c r="O27" s="343" t="s">
        <v>56</v>
      </c>
      <c r="P27" s="343" t="s">
        <v>56</v>
      </c>
      <c r="Q27" s="340"/>
      <c r="R27" s="340"/>
      <c r="S27" s="340"/>
      <c r="T27" s="340"/>
    </row>
    <row r="28" spans="1:20" ht="21" hidden="1" customHeight="1" thickBot="1" x14ac:dyDescent="0.3">
      <c r="B28" s="2969"/>
      <c r="C28" s="2971" t="s">
        <v>60</v>
      </c>
      <c r="D28" s="2972"/>
      <c r="E28" s="2972"/>
      <c r="F28" s="2973"/>
      <c r="G28" s="2973"/>
      <c r="H28" s="2974"/>
      <c r="I28" s="2441">
        <f>SUMIF(I24:I27,"&gt;0",I24:I27)</f>
        <v>0</v>
      </c>
      <c r="J28" s="343"/>
      <c r="K28" s="343" t="s">
        <v>56</v>
      </c>
      <c r="L28" s="343" t="s">
        <v>56</v>
      </c>
      <c r="M28" s="343" t="s">
        <v>56</v>
      </c>
      <c r="N28" s="343" t="s">
        <v>56</v>
      </c>
      <c r="O28" s="343" t="s">
        <v>56</v>
      </c>
      <c r="P28" s="343" t="s">
        <v>56</v>
      </c>
      <c r="Q28" s="340"/>
      <c r="R28" s="340"/>
      <c r="S28" s="340"/>
      <c r="T28" s="340"/>
    </row>
    <row r="29" spans="1:20" ht="15.75" customHeight="1" x14ac:dyDescent="0.25">
      <c r="B29" s="2969"/>
      <c r="C29" s="2975" t="s">
        <v>1035</v>
      </c>
      <c r="D29" s="2976"/>
      <c r="E29" s="2977"/>
      <c r="F29" s="2446" t="s">
        <v>263</v>
      </c>
      <c r="G29" s="2190"/>
      <c r="H29" s="2433"/>
      <c r="I29" s="2683">
        <f>G29*H29</f>
        <v>0</v>
      </c>
      <c r="J29" s="343"/>
      <c r="K29" s="343" t="s">
        <v>56</v>
      </c>
      <c r="L29" s="343" t="s">
        <v>56</v>
      </c>
      <c r="M29" s="343" t="s">
        <v>56</v>
      </c>
      <c r="N29" s="343" t="s">
        <v>56</v>
      </c>
      <c r="O29" s="343" t="s">
        <v>56</v>
      </c>
      <c r="P29" s="343" t="s">
        <v>56</v>
      </c>
      <c r="Q29" s="340"/>
      <c r="R29" s="340"/>
      <c r="S29" s="340"/>
      <c r="T29" s="340"/>
    </row>
    <row r="30" spans="1:20" ht="15.75" x14ac:dyDescent="0.25">
      <c r="B30" s="2969"/>
      <c r="C30" s="2982"/>
      <c r="D30" s="2983"/>
      <c r="E30" s="2984"/>
      <c r="F30" s="2444"/>
      <c r="G30" s="2444"/>
      <c r="H30" s="2433"/>
      <c r="I30" s="2435"/>
      <c r="J30" s="343"/>
      <c r="K30" s="343" t="s">
        <v>56</v>
      </c>
      <c r="L30" s="343" t="s">
        <v>56</v>
      </c>
      <c r="M30" s="343" t="s">
        <v>56</v>
      </c>
      <c r="N30" s="343" t="s">
        <v>56</v>
      </c>
      <c r="O30" s="343" t="s">
        <v>56</v>
      </c>
      <c r="P30" s="343" t="s">
        <v>56</v>
      </c>
      <c r="Q30" s="340"/>
      <c r="R30" s="340"/>
      <c r="S30" s="340"/>
      <c r="T30" s="340"/>
    </row>
    <row r="31" spans="1:20" ht="15.75" x14ac:dyDescent="0.25">
      <c r="B31" s="2969"/>
      <c r="C31" s="2982"/>
      <c r="D31" s="2983"/>
      <c r="E31" s="2984"/>
      <c r="F31" s="2444"/>
      <c r="G31" s="2444"/>
      <c r="H31" s="2433"/>
      <c r="I31" s="2435"/>
      <c r="J31" s="343"/>
      <c r="K31" s="343" t="s">
        <v>56</v>
      </c>
      <c r="L31" s="343" t="s">
        <v>56</v>
      </c>
      <c r="M31" s="343" t="s">
        <v>56</v>
      </c>
      <c r="N31" s="343" t="s">
        <v>56</v>
      </c>
      <c r="O31" s="343" t="s">
        <v>56</v>
      </c>
      <c r="P31" s="343" t="s">
        <v>56</v>
      </c>
      <c r="Q31" s="340"/>
      <c r="R31" s="340"/>
      <c r="S31" s="340"/>
      <c r="T31" s="340"/>
    </row>
    <row r="32" spans="1:20" ht="15.75" x14ac:dyDescent="0.25">
      <c r="B32" s="2969"/>
      <c r="C32" s="2982"/>
      <c r="D32" s="2983"/>
      <c r="E32" s="2984"/>
      <c r="F32" s="2444"/>
      <c r="G32" s="2444"/>
      <c r="H32" s="2433"/>
      <c r="I32" s="2435"/>
      <c r="J32" s="343"/>
      <c r="K32" s="343" t="s">
        <v>56</v>
      </c>
      <c r="L32" s="343" t="s">
        <v>56</v>
      </c>
      <c r="M32" s="343" t="s">
        <v>56</v>
      </c>
      <c r="N32" s="343" t="s">
        <v>56</v>
      </c>
      <c r="O32" s="343" t="s">
        <v>56</v>
      </c>
      <c r="P32" s="343" t="s">
        <v>56</v>
      </c>
      <c r="Q32" s="340"/>
      <c r="R32" s="340"/>
      <c r="S32" s="340"/>
      <c r="T32" s="340"/>
    </row>
    <row r="33" spans="1:20" ht="16.5" thickBot="1" x14ac:dyDescent="0.3">
      <c r="B33" s="2970"/>
      <c r="C33" s="2985"/>
      <c r="D33" s="2986"/>
      <c r="E33" s="2987"/>
      <c r="F33" s="2447"/>
      <c r="G33" s="2447"/>
      <c r="H33" s="2437"/>
      <c r="I33" s="2434"/>
      <c r="J33" s="343"/>
      <c r="K33" s="343" t="s">
        <v>56</v>
      </c>
      <c r="L33" s="343" t="s">
        <v>56</v>
      </c>
      <c r="M33" s="343" t="s">
        <v>56</v>
      </c>
      <c r="N33" s="343" t="s">
        <v>56</v>
      </c>
      <c r="O33" s="343" t="s">
        <v>56</v>
      </c>
      <c r="P33" s="343" t="s">
        <v>56</v>
      </c>
      <c r="Q33" s="340"/>
      <c r="R33" s="340"/>
      <c r="S33" s="340"/>
      <c r="T33" s="340"/>
    </row>
    <row r="34" spans="1:20" ht="18.75" hidden="1" customHeight="1" thickBot="1" x14ac:dyDescent="0.3">
      <c r="B34" s="2430"/>
      <c r="C34" s="2980" t="s">
        <v>60</v>
      </c>
      <c r="D34" s="2980"/>
      <c r="E34" s="2980"/>
      <c r="F34" s="2980"/>
      <c r="G34" s="2980"/>
      <c r="H34" s="2981"/>
      <c r="I34" s="1201">
        <f>SUMIF(I29:I33,"&gt;0",I29:I33)</f>
        <v>0</v>
      </c>
      <c r="J34" s="343"/>
      <c r="K34" s="343" t="s">
        <v>56</v>
      </c>
      <c r="L34" s="343" t="s">
        <v>56</v>
      </c>
      <c r="M34" s="343" t="s">
        <v>56</v>
      </c>
      <c r="N34" s="343" t="s">
        <v>56</v>
      </c>
      <c r="O34" s="343" t="s">
        <v>56</v>
      </c>
      <c r="P34" s="343" t="s">
        <v>56</v>
      </c>
      <c r="Q34" s="340"/>
      <c r="R34" s="340"/>
      <c r="S34" s="340"/>
      <c r="T34" s="340"/>
    </row>
    <row r="35" spans="1:20" ht="23.25" customHeight="1" thickBot="1" x14ac:dyDescent="0.3">
      <c r="A35" s="341"/>
      <c r="B35" s="341"/>
      <c r="C35" s="341"/>
      <c r="D35" s="341"/>
      <c r="E35" s="341"/>
      <c r="F35" s="341"/>
      <c r="G35" s="1203"/>
      <c r="H35" s="2448" t="s">
        <v>434</v>
      </c>
      <c r="I35" s="2442">
        <f>I28+I34</f>
        <v>0</v>
      </c>
      <c r="J35" s="343"/>
      <c r="K35" s="343" t="s">
        <v>56</v>
      </c>
      <c r="L35" s="343" t="s">
        <v>56</v>
      </c>
      <c r="M35" s="343" t="s">
        <v>56</v>
      </c>
      <c r="N35" s="343" t="s">
        <v>56</v>
      </c>
      <c r="O35" s="343" t="s">
        <v>56</v>
      </c>
      <c r="P35" s="343" t="s">
        <v>56</v>
      </c>
      <c r="Q35" s="340"/>
      <c r="R35" s="340"/>
      <c r="S35" s="340"/>
      <c r="T35" s="340"/>
    </row>
    <row r="36" spans="1:20" ht="16.5" thickBot="1" x14ac:dyDescent="0.3">
      <c r="A36" s="341"/>
      <c r="B36" s="341"/>
      <c r="C36" s="341"/>
      <c r="D36" s="341"/>
      <c r="E36" s="341"/>
      <c r="F36" s="341"/>
      <c r="G36" s="1203"/>
      <c r="H36" s="345"/>
      <c r="I36" s="345"/>
      <c r="J36" s="2431"/>
      <c r="K36" s="343" t="s">
        <v>56</v>
      </c>
      <c r="L36" s="343" t="s">
        <v>56</v>
      </c>
      <c r="M36" s="343" t="s">
        <v>56</v>
      </c>
      <c r="N36" s="343" t="s">
        <v>56</v>
      </c>
      <c r="O36" s="343" t="s">
        <v>56</v>
      </c>
      <c r="P36" s="343" t="s">
        <v>56</v>
      </c>
      <c r="Q36" s="340"/>
      <c r="R36" s="340"/>
      <c r="S36" s="340"/>
      <c r="T36" s="340"/>
    </row>
    <row r="37" spans="1:20" ht="26.25" customHeight="1" thickBot="1" x14ac:dyDescent="0.3">
      <c r="A37" s="341"/>
      <c r="B37" s="341"/>
      <c r="C37" s="341"/>
      <c r="D37" s="2988" t="s">
        <v>1039</v>
      </c>
      <c r="E37" s="2989"/>
      <c r="F37" s="2989"/>
      <c r="G37" s="2990"/>
      <c r="H37" s="2429">
        <f>I35+G20</f>
        <v>0</v>
      </c>
      <c r="I37" s="345"/>
      <c r="J37" s="2431"/>
      <c r="K37" s="343" t="s">
        <v>56</v>
      </c>
      <c r="L37" s="343" t="s">
        <v>56</v>
      </c>
      <c r="M37" s="343" t="s">
        <v>56</v>
      </c>
      <c r="N37" s="343" t="s">
        <v>56</v>
      </c>
      <c r="O37" s="343" t="s">
        <v>56</v>
      </c>
      <c r="P37" s="343" t="s">
        <v>56</v>
      </c>
      <c r="Q37" s="340"/>
      <c r="R37" s="340"/>
      <c r="S37" s="340"/>
      <c r="T37" s="340"/>
    </row>
    <row r="38" spans="1:20" ht="16.5" thickBot="1" x14ac:dyDescent="0.3">
      <c r="A38" s="341"/>
      <c r="B38" s="341"/>
      <c r="C38" s="341"/>
      <c r="D38" s="341"/>
      <c r="E38" s="341"/>
      <c r="F38" s="341"/>
      <c r="G38" s="1203"/>
      <c r="H38" s="345"/>
      <c r="I38" s="345"/>
      <c r="J38" s="343"/>
      <c r="K38" s="343" t="s">
        <v>56</v>
      </c>
      <c r="L38" s="343" t="s">
        <v>56</v>
      </c>
      <c r="M38" s="343" t="s">
        <v>56</v>
      </c>
      <c r="N38" s="343" t="s">
        <v>56</v>
      </c>
      <c r="O38" s="343" t="s">
        <v>56</v>
      </c>
      <c r="P38" s="343" t="s">
        <v>56</v>
      </c>
      <c r="Q38" s="340"/>
      <c r="R38" s="340"/>
      <c r="S38" s="340"/>
      <c r="T38" s="340"/>
    </row>
    <row r="39" spans="1:20" hidden="1" x14ac:dyDescent="0.2">
      <c r="A39" s="341"/>
      <c r="B39" s="1200"/>
      <c r="C39" s="341"/>
      <c r="D39" s="341"/>
      <c r="E39" s="341"/>
      <c r="F39" s="341"/>
      <c r="G39" s="1203"/>
      <c r="H39" s="1138"/>
      <c r="I39" s="1138"/>
      <c r="J39" s="340"/>
      <c r="K39" s="340"/>
      <c r="L39" s="340"/>
      <c r="M39" s="340"/>
      <c r="N39" s="340"/>
      <c r="O39" s="340"/>
      <c r="P39" s="340"/>
      <c r="Q39" s="340"/>
      <c r="R39" s="340"/>
      <c r="S39" s="340"/>
      <c r="T39" s="340"/>
    </row>
    <row r="40" spans="1:20" hidden="1" x14ac:dyDescent="0.2">
      <c r="A40" s="341"/>
      <c r="B40" s="1200"/>
      <c r="C40" s="341"/>
      <c r="D40" s="341"/>
      <c r="E40" s="341"/>
      <c r="F40" s="341"/>
      <c r="G40" s="1203"/>
      <c r="H40" s="1138"/>
      <c r="I40" s="1138"/>
      <c r="J40" s="340"/>
      <c r="K40" s="340"/>
      <c r="L40" s="340"/>
      <c r="M40" s="340"/>
      <c r="N40" s="340"/>
      <c r="O40" s="340"/>
      <c r="P40" s="340"/>
      <c r="Q40" s="340"/>
      <c r="R40" s="340"/>
      <c r="S40" s="340"/>
      <c r="T40" s="340"/>
    </row>
    <row r="41" spans="1:20" hidden="1" x14ac:dyDescent="0.2">
      <c r="A41" s="341"/>
      <c r="B41" s="1200"/>
      <c r="C41" s="341"/>
      <c r="D41" s="341"/>
      <c r="E41" s="341"/>
      <c r="F41" s="341"/>
      <c r="G41" s="1203"/>
      <c r="H41" s="1138"/>
      <c r="I41" s="1138"/>
      <c r="J41" s="340"/>
      <c r="K41" s="340"/>
      <c r="L41" s="340"/>
      <c r="M41" s="340"/>
      <c r="N41" s="340"/>
      <c r="O41" s="340"/>
      <c r="P41" s="340"/>
      <c r="Q41" s="340"/>
      <c r="R41" s="340"/>
      <c r="S41" s="340"/>
      <c r="T41" s="340"/>
    </row>
    <row r="42" spans="1:20" hidden="1" x14ac:dyDescent="0.2">
      <c r="A42" s="341"/>
      <c r="B42" s="1200"/>
      <c r="C42" s="341"/>
      <c r="D42" s="341"/>
      <c r="E42" s="341"/>
      <c r="F42" s="341"/>
      <c r="G42" s="1203"/>
      <c r="H42" s="1138"/>
      <c r="I42" s="1138"/>
      <c r="J42" s="340"/>
      <c r="K42" s="340"/>
      <c r="L42" s="340"/>
      <c r="M42" s="340"/>
      <c r="N42" s="340"/>
      <c r="O42" s="340"/>
      <c r="P42" s="340"/>
      <c r="Q42" s="340"/>
      <c r="R42" s="340"/>
      <c r="S42" s="340"/>
      <c r="T42" s="340"/>
    </row>
    <row r="43" spans="1:20" hidden="1" x14ac:dyDescent="0.2">
      <c r="A43" s="341"/>
      <c r="B43" s="1200"/>
      <c r="C43" s="341"/>
      <c r="D43" s="341"/>
      <c r="E43" s="341"/>
      <c r="F43" s="341"/>
      <c r="G43" s="1203"/>
      <c r="H43" s="1138"/>
      <c r="I43" s="1138"/>
      <c r="J43" s="340"/>
      <c r="K43" s="340"/>
      <c r="L43" s="340"/>
      <c r="M43" s="340"/>
      <c r="N43" s="340"/>
      <c r="O43" s="340"/>
      <c r="P43" s="340"/>
      <c r="Q43" s="340"/>
      <c r="R43" s="340"/>
      <c r="S43" s="340"/>
      <c r="T43" s="340"/>
    </row>
    <row r="44" spans="1:20" hidden="1" x14ac:dyDescent="0.2">
      <c r="A44" s="341"/>
      <c r="B44" s="1200"/>
      <c r="C44" s="341"/>
      <c r="D44" s="341"/>
      <c r="E44" s="341"/>
      <c r="F44" s="341"/>
      <c r="G44" s="1203"/>
      <c r="H44" s="1138"/>
      <c r="I44" s="1138"/>
      <c r="J44" s="340"/>
      <c r="K44" s="340"/>
      <c r="L44" s="340"/>
      <c r="M44" s="340"/>
      <c r="N44" s="340"/>
      <c r="O44" s="340"/>
      <c r="P44" s="340"/>
      <c r="Q44" s="340"/>
      <c r="R44" s="340"/>
      <c r="S44" s="340"/>
      <c r="T44" s="340"/>
    </row>
    <row r="45" spans="1:20" hidden="1" x14ac:dyDescent="0.2">
      <c r="A45" s="341"/>
      <c r="B45" s="1200"/>
      <c r="C45" s="341"/>
      <c r="D45" s="341"/>
      <c r="E45" s="341"/>
      <c r="F45" s="341"/>
      <c r="G45" s="1203"/>
      <c r="H45" s="1138"/>
      <c r="I45" s="1138"/>
      <c r="J45" s="340"/>
      <c r="K45" s="340"/>
      <c r="L45" s="340"/>
      <c r="M45" s="340"/>
      <c r="N45" s="340"/>
      <c r="O45" s="340"/>
      <c r="P45" s="340"/>
      <c r="Q45" s="340"/>
      <c r="R45" s="340"/>
      <c r="S45" s="340"/>
      <c r="T45" s="340"/>
    </row>
    <row r="46" spans="1:20" hidden="1" x14ac:dyDescent="0.2">
      <c r="A46" s="341"/>
      <c r="B46" s="1200"/>
      <c r="C46" s="341"/>
      <c r="D46" s="341"/>
      <c r="E46" s="341"/>
      <c r="F46" s="341"/>
      <c r="G46" s="1203"/>
      <c r="H46" s="1138"/>
      <c r="I46" s="1138"/>
      <c r="J46" s="340"/>
      <c r="K46" s="340"/>
      <c r="L46" s="340"/>
      <c r="M46" s="340"/>
      <c r="N46" s="340"/>
      <c r="O46" s="340"/>
      <c r="P46" s="340"/>
      <c r="Q46" s="340"/>
      <c r="R46" s="340"/>
      <c r="S46" s="340"/>
      <c r="T46" s="340"/>
    </row>
    <row r="47" spans="1:20" hidden="1" x14ac:dyDescent="0.2">
      <c r="A47" s="341"/>
      <c r="B47" s="1200"/>
      <c r="C47" s="341"/>
      <c r="D47" s="341"/>
      <c r="E47" s="341"/>
      <c r="F47" s="341"/>
      <c r="G47" s="1203"/>
      <c r="H47" s="1138"/>
      <c r="I47" s="1138"/>
      <c r="J47" s="340"/>
      <c r="K47" s="340"/>
      <c r="L47" s="340"/>
      <c r="M47" s="340"/>
      <c r="N47" s="340"/>
      <c r="O47" s="340"/>
      <c r="P47" s="340"/>
      <c r="Q47" s="340"/>
      <c r="R47" s="340"/>
      <c r="S47" s="340"/>
      <c r="T47" s="340"/>
    </row>
    <row r="48" spans="1:20" hidden="1" x14ac:dyDescent="0.2">
      <c r="A48" s="341"/>
      <c r="B48" s="1200"/>
      <c r="C48" s="341"/>
      <c r="D48" s="341"/>
      <c r="E48" s="341"/>
      <c r="F48" s="341"/>
      <c r="G48" s="341"/>
      <c r="H48" s="341"/>
      <c r="I48" s="341"/>
      <c r="J48" s="340"/>
      <c r="K48" s="340"/>
      <c r="L48" s="340"/>
      <c r="M48" s="340"/>
      <c r="N48" s="340"/>
      <c r="O48" s="340"/>
      <c r="P48" s="340"/>
      <c r="Q48" s="340"/>
      <c r="R48" s="340"/>
      <c r="S48" s="340"/>
      <c r="T48" s="340"/>
    </row>
    <row r="49" spans="1:20" ht="16.5" hidden="1" thickBot="1" x14ac:dyDescent="0.3">
      <c r="A49" s="341"/>
      <c r="B49" s="1202"/>
      <c r="C49" s="1193"/>
      <c r="D49" s="1193"/>
      <c r="E49" s="1193"/>
      <c r="F49" s="1204"/>
      <c r="G49" s="1138"/>
      <c r="H49" s="1138"/>
      <c r="I49" s="1138"/>
      <c r="J49" s="340"/>
      <c r="K49" s="340"/>
      <c r="L49" s="340"/>
      <c r="M49" s="340"/>
      <c r="N49" s="340"/>
      <c r="O49" s="340"/>
      <c r="P49" s="340"/>
      <c r="Q49" s="340"/>
      <c r="R49" s="340"/>
      <c r="S49" s="340"/>
      <c r="T49" s="340"/>
    </row>
    <row r="50" spans="1:20" ht="19.5" customHeight="1" thickBot="1" x14ac:dyDescent="0.3">
      <c r="A50" s="341"/>
      <c r="B50" s="2723" t="s">
        <v>1046</v>
      </c>
      <c r="C50" s="2730"/>
      <c r="D50" s="2730"/>
      <c r="E50" s="2730"/>
      <c r="F50" s="2730"/>
      <c r="G50" s="2730"/>
      <c r="H50" s="2730"/>
      <c r="I50" s="2724"/>
      <c r="J50" s="343"/>
      <c r="K50" s="343"/>
      <c r="L50" s="343"/>
      <c r="M50" s="343"/>
      <c r="N50" s="343"/>
      <c r="O50" s="343"/>
      <c r="P50" s="343"/>
      <c r="Q50" s="340"/>
      <c r="R50" s="340"/>
      <c r="S50" s="340"/>
      <c r="T50" s="340"/>
    </row>
    <row r="51" spans="1:20" ht="15.75" x14ac:dyDescent="0.25">
      <c r="A51" s="341"/>
      <c r="B51" s="2793"/>
      <c r="C51" s="2794"/>
      <c r="D51" s="2794"/>
      <c r="E51" s="2794"/>
      <c r="F51" s="2794"/>
      <c r="G51" s="2794"/>
      <c r="H51" s="2794"/>
      <c r="I51" s="2795"/>
      <c r="J51" s="343"/>
      <c r="K51" s="343"/>
      <c r="L51" s="343"/>
      <c r="M51" s="343"/>
      <c r="N51" s="343"/>
      <c r="O51" s="343"/>
      <c r="P51" s="343"/>
      <c r="Q51" s="340"/>
      <c r="R51" s="340"/>
      <c r="S51" s="340"/>
      <c r="T51" s="340"/>
    </row>
    <row r="52" spans="1:20" x14ac:dyDescent="0.2">
      <c r="A52" s="341"/>
      <c r="B52" s="2793"/>
      <c r="C52" s="2794"/>
      <c r="D52" s="2794"/>
      <c r="E52" s="2794"/>
      <c r="F52" s="2794"/>
      <c r="G52" s="2794"/>
      <c r="H52" s="2794"/>
      <c r="I52" s="2795"/>
      <c r="J52" s="340"/>
      <c r="K52" s="340"/>
      <c r="L52" s="340"/>
      <c r="M52" s="340"/>
      <c r="N52" s="340"/>
      <c r="O52" s="340"/>
      <c r="P52" s="340"/>
      <c r="Q52" s="340"/>
      <c r="R52" s="340"/>
      <c r="S52" s="340"/>
      <c r="T52" s="340"/>
    </row>
    <row r="53" spans="1:20" x14ac:dyDescent="0.2">
      <c r="A53" s="341"/>
      <c r="B53" s="2793"/>
      <c r="C53" s="2794"/>
      <c r="D53" s="2794"/>
      <c r="E53" s="2794"/>
      <c r="F53" s="2794"/>
      <c r="G53" s="2794"/>
      <c r="H53" s="2794"/>
      <c r="I53" s="2795"/>
      <c r="J53" s="340"/>
      <c r="K53" s="340"/>
      <c r="L53" s="340"/>
      <c r="M53" s="340"/>
      <c r="N53" s="340"/>
      <c r="O53" s="340"/>
      <c r="P53" s="340"/>
      <c r="Q53" s="340"/>
      <c r="R53" s="340"/>
      <c r="S53" s="340"/>
      <c r="T53" s="340"/>
    </row>
    <row r="54" spans="1:20" x14ac:dyDescent="0.2">
      <c r="A54" s="341"/>
      <c r="B54" s="2793"/>
      <c r="C54" s="2794"/>
      <c r="D54" s="2794"/>
      <c r="E54" s="2794"/>
      <c r="F54" s="2794"/>
      <c r="G54" s="2794"/>
      <c r="H54" s="2794"/>
      <c r="I54" s="2795"/>
      <c r="J54" s="340"/>
      <c r="K54" s="340"/>
      <c r="L54" s="340"/>
      <c r="M54" s="340"/>
      <c r="N54" s="340"/>
      <c r="O54" s="340"/>
      <c r="P54" s="340"/>
      <c r="Q54" s="340"/>
      <c r="R54" s="340"/>
      <c r="S54" s="340"/>
      <c r="T54" s="340"/>
    </row>
    <row r="55" spans="1:20" x14ac:dyDescent="0.2">
      <c r="A55" s="341"/>
      <c r="B55" s="2793"/>
      <c r="C55" s="2794"/>
      <c r="D55" s="2794"/>
      <c r="E55" s="2794"/>
      <c r="F55" s="2794"/>
      <c r="G55" s="2794"/>
      <c r="H55" s="2794"/>
      <c r="I55" s="2795"/>
      <c r="J55" s="340"/>
      <c r="K55" s="340"/>
      <c r="L55" s="340"/>
      <c r="M55" s="340"/>
      <c r="N55" s="340"/>
      <c r="O55" s="340"/>
      <c r="P55" s="340"/>
      <c r="Q55" s="340"/>
      <c r="R55" s="340"/>
      <c r="S55" s="340"/>
      <c r="T55" s="340"/>
    </row>
    <row r="56" spans="1:20" ht="15.75" thickBot="1" x14ac:dyDescent="0.25">
      <c r="B56" s="2796"/>
      <c r="C56" s="2797"/>
      <c r="D56" s="2797"/>
      <c r="E56" s="2797"/>
      <c r="F56" s="2797"/>
      <c r="G56" s="2797"/>
      <c r="H56" s="2797"/>
      <c r="I56" s="2798"/>
      <c r="J56" s="340"/>
      <c r="K56" s="340"/>
      <c r="L56" s="340"/>
      <c r="M56" s="340"/>
      <c r="N56" s="340"/>
      <c r="O56" s="340"/>
      <c r="P56" s="340"/>
      <c r="Q56" s="340"/>
      <c r="R56" s="340"/>
      <c r="S56" s="340"/>
      <c r="T56" s="340"/>
    </row>
    <row r="57" spans="1:20" x14ac:dyDescent="0.2">
      <c r="B57" s="1138"/>
      <c r="C57" s="1138"/>
      <c r="D57" s="1138"/>
      <c r="E57" s="1138"/>
      <c r="F57" s="1138"/>
      <c r="G57" s="1138"/>
      <c r="H57" s="340"/>
      <c r="I57" s="340"/>
      <c r="J57" s="340"/>
      <c r="K57" s="340"/>
      <c r="L57" s="340"/>
      <c r="M57" s="340"/>
      <c r="N57" s="340"/>
      <c r="O57" s="340"/>
      <c r="P57" s="340"/>
      <c r="Q57" s="340"/>
      <c r="R57" s="340"/>
      <c r="S57" s="340"/>
      <c r="T57" s="340"/>
    </row>
    <row r="58" spans="1:20" x14ac:dyDescent="0.2">
      <c r="B58" s="1138"/>
      <c r="C58" s="1138"/>
      <c r="D58" s="1138"/>
      <c r="E58" s="1138"/>
      <c r="F58" s="1138"/>
      <c r="G58" s="1138"/>
      <c r="H58" s="340"/>
      <c r="I58" s="340"/>
      <c r="J58" s="340"/>
      <c r="K58" s="340"/>
      <c r="L58" s="340"/>
      <c r="M58" s="340"/>
      <c r="N58" s="340"/>
      <c r="O58" s="340"/>
      <c r="P58" s="340"/>
      <c r="Q58" s="340"/>
      <c r="R58" s="340"/>
      <c r="S58" s="340"/>
      <c r="T58" s="340"/>
    </row>
    <row r="59" spans="1:20" x14ac:dyDescent="0.2">
      <c r="B59" s="1138"/>
      <c r="C59" s="1138"/>
      <c r="D59" s="1138"/>
      <c r="E59" s="1138"/>
      <c r="F59" s="1138"/>
      <c r="G59" s="1138"/>
      <c r="H59" s="340"/>
      <c r="I59" s="340"/>
      <c r="J59" s="340"/>
      <c r="K59" s="340"/>
      <c r="L59" s="340"/>
      <c r="M59" s="340"/>
      <c r="N59" s="340"/>
      <c r="O59" s="340"/>
      <c r="P59" s="340"/>
      <c r="Q59" s="340"/>
      <c r="R59" s="340"/>
      <c r="S59" s="340"/>
      <c r="T59" s="340"/>
    </row>
    <row r="60" spans="1:20" x14ac:dyDescent="0.2">
      <c r="B60" s="1138"/>
      <c r="C60" s="1138"/>
      <c r="D60" s="1138"/>
      <c r="E60" s="1138"/>
      <c r="F60" s="1138"/>
      <c r="G60" s="1138"/>
      <c r="H60" s="340"/>
      <c r="I60" s="340"/>
      <c r="J60" s="340"/>
      <c r="K60" s="340"/>
      <c r="L60" s="340"/>
      <c r="M60" s="340"/>
      <c r="N60" s="340"/>
      <c r="O60" s="340"/>
      <c r="P60" s="340"/>
      <c r="Q60" s="340"/>
      <c r="R60" s="340"/>
      <c r="S60" s="340"/>
      <c r="T60" s="340"/>
    </row>
    <row r="61" spans="1:20" x14ac:dyDescent="0.2">
      <c r="B61" s="1138"/>
      <c r="C61" s="1138"/>
      <c r="D61" s="1138"/>
      <c r="E61" s="1138"/>
      <c r="F61" s="1138"/>
      <c r="G61" s="1138"/>
      <c r="H61" s="340"/>
      <c r="I61" s="340"/>
      <c r="J61" s="340"/>
      <c r="K61" s="340"/>
      <c r="L61" s="340"/>
      <c r="M61" s="340"/>
      <c r="N61" s="340"/>
      <c r="O61" s="340"/>
      <c r="P61" s="340"/>
      <c r="Q61" s="340"/>
      <c r="R61" s="340"/>
      <c r="S61" s="340"/>
      <c r="T61" s="340"/>
    </row>
    <row r="62" spans="1:20" ht="15.75" x14ac:dyDescent="0.25">
      <c r="A62" s="1205"/>
      <c r="B62" s="1138"/>
      <c r="C62" s="1138"/>
      <c r="D62" s="1138"/>
      <c r="E62" s="1138"/>
      <c r="F62" s="1138"/>
      <c r="G62" s="1138"/>
      <c r="H62" s="340"/>
      <c r="I62" s="340"/>
      <c r="J62" s="340"/>
      <c r="K62" s="340"/>
      <c r="L62" s="340"/>
      <c r="M62" s="340"/>
      <c r="N62" s="340"/>
      <c r="O62" s="340"/>
      <c r="P62" s="340"/>
      <c r="Q62" s="340"/>
      <c r="R62" s="340"/>
      <c r="S62" s="340"/>
      <c r="T62" s="340"/>
    </row>
    <row r="63" spans="1:20" x14ac:dyDescent="0.2">
      <c r="B63" s="1138"/>
      <c r="C63" s="1138"/>
      <c r="D63" s="1138"/>
      <c r="E63" s="1138"/>
      <c r="F63" s="1138"/>
      <c r="G63" s="1138"/>
      <c r="H63" s="340"/>
      <c r="I63" s="340"/>
      <c r="J63" s="340"/>
      <c r="K63" s="340"/>
      <c r="L63" s="340"/>
      <c r="M63" s="340"/>
      <c r="N63" s="340"/>
      <c r="O63" s="340"/>
      <c r="P63" s="340"/>
      <c r="Q63" s="340"/>
      <c r="R63" s="340"/>
      <c r="S63" s="340"/>
      <c r="T63" s="340"/>
    </row>
    <row r="64" spans="1:20" x14ac:dyDescent="0.2">
      <c r="B64" s="1138"/>
      <c r="C64" s="1138"/>
      <c r="D64" s="1138"/>
      <c r="E64" s="1138"/>
      <c r="F64" s="1138"/>
      <c r="G64" s="1138"/>
      <c r="H64" s="340"/>
      <c r="I64" s="340"/>
      <c r="J64" s="340"/>
      <c r="K64" s="340"/>
      <c r="L64" s="340"/>
      <c r="M64" s="340"/>
      <c r="N64" s="340"/>
      <c r="O64" s="340"/>
      <c r="P64" s="340"/>
      <c r="Q64" s="340"/>
      <c r="R64" s="340"/>
      <c r="S64" s="340"/>
      <c r="T64" s="340"/>
    </row>
    <row r="65" spans="2:20" x14ac:dyDescent="0.2">
      <c r="B65" s="340"/>
      <c r="C65" s="340"/>
      <c r="D65" s="340"/>
      <c r="E65" s="340"/>
      <c r="F65" s="340"/>
      <c r="G65" s="340"/>
      <c r="H65" s="340"/>
      <c r="I65" s="340"/>
      <c r="J65" s="340"/>
      <c r="K65" s="340"/>
      <c r="L65" s="340"/>
      <c r="M65" s="340"/>
      <c r="N65" s="340"/>
      <c r="O65" s="340"/>
      <c r="P65" s="340"/>
      <c r="Q65" s="340"/>
      <c r="R65" s="340"/>
      <c r="S65" s="340"/>
      <c r="T65" s="340"/>
    </row>
    <row r="66" spans="2:20" x14ac:dyDescent="0.2">
      <c r="B66" s="340"/>
      <c r="C66" s="340"/>
      <c r="D66" s="340"/>
      <c r="E66" s="340"/>
      <c r="F66" s="340"/>
      <c r="G66" s="340"/>
      <c r="H66" s="340"/>
      <c r="I66" s="340"/>
      <c r="J66" s="340"/>
      <c r="K66" s="340"/>
      <c r="L66" s="340"/>
      <c r="M66" s="340"/>
      <c r="N66" s="340"/>
      <c r="O66" s="340"/>
      <c r="P66" s="340"/>
      <c r="Q66" s="340"/>
      <c r="R66" s="340"/>
      <c r="S66" s="340"/>
      <c r="T66" s="340"/>
    </row>
    <row r="67" spans="2:20" x14ac:dyDescent="0.2">
      <c r="B67" s="340"/>
      <c r="C67" s="340"/>
      <c r="D67" s="340"/>
      <c r="E67" s="340"/>
      <c r="F67" s="340"/>
      <c r="G67" s="340"/>
      <c r="H67" s="340"/>
      <c r="I67" s="340"/>
      <c r="J67" s="340"/>
      <c r="K67" s="340"/>
      <c r="L67" s="340"/>
      <c r="M67" s="340"/>
      <c r="N67" s="340"/>
      <c r="O67" s="340"/>
      <c r="P67" s="340"/>
      <c r="Q67" s="340"/>
      <c r="R67" s="340"/>
      <c r="S67" s="340"/>
      <c r="T67" s="340"/>
    </row>
    <row r="68" spans="2:20" x14ac:dyDescent="0.2">
      <c r="B68" s="340"/>
      <c r="C68" s="340"/>
      <c r="D68" s="340"/>
      <c r="E68" s="340"/>
      <c r="F68" s="340"/>
      <c r="G68" s="340"/>
      <c r="H68" s="340"/>
      <c r="I68" s="340"/>
      <c r="J68" s="340"/>
      <c r="K68" s="340"/>
      <c r="L68" s="340"/>
      <c r="M68" s="340"/>
      <c r="N68" s="340"/>
      <c r="O68" s="340"/>
      <c r="P68" s="340"/>
      <c r="Q68" s="340"/>
      <c r="R68" s="340"/>
      <c r="S68" s="340"/>
      <c r="T68" s="340"/>
    </row>
    <row r="69" spans="2:20" x14ac:dyDescent="0.2">
      <c r="B69" s="340"/>
      <c r="C69" s="340"/>
      <c r="D69" s="340"/>
      <c r="E69" s="340"/>
      <c r="F69" s="340"/>
      <c r="G69" s="340"/>
      <c r="H69" s="340"/>
      <c r="I69" s="340"/>
      <c r="J69" s="340"/>
      <c r="K69" s="340"/>
      <c r="L69" s="340"/>
      <c r="M69" s="340"/>
      <c r="N69" s="340"/>
      <c r="O69" s="340"/>
      <c r="P69" s="340"/>
      <c r="Q69" s="340"/>
      <c r="R69" s="340"/>
      <c r="S69" s="340"/>
      <c r="T69" s="340"/>
    </row>
    <row r="70" spans="2:20" x14ac:dyDescent="0.2">
      <c r="B70" s="340"/>
      <c r="C70" s="340"/>
      <c r="D70" s="340"/>
      <c r="E70" s="340"/>
      <c r="F70" s="340"/>
      <c r="G70" s="340"/>
      <c r="H70" s="340"/>
      <c r="I70" s="340"/>
      <c r="J70" s="340"/>
      <c r="K70" s="340"/>
      <c r="L70" s="340"/>
      <c r="M70" s="340"/>
      <c r="N70" s="340"/>
      <c r="O70" s="340"/>
      <c r="P70" s="340"/>
      <c r="Q70" s="340"/>
      <c r="R70" s="340"/>
      <c r="S70" s="340"/>
      <c r="T70" s="340"/>
    </row>
    <row r="71" spans="2:20" x14ac:dyDescent="0.2">
      <c r="B71" s="340"/>
      <c r="C71" s="340"/>
      <c r="D71" s="340"/>
      <c r="E71" s="340"/>
      <c r="F71" s="340"/>
      <c r="G71" s="340"/>
      <c r="H71" s="340"/>
      <c r="I71" s="340"/>
      <c r="J71" s="340"/>
      <c r="K71" s="340"/>
      <c r="L71" s="340"/>
      <c r="M71" s="340"/>
      <c r="N71" s="340"/>
      <c r="O71" s="340"/>
      <c r="P71" s="340"/>
      <c r="Q71" s="340"/>
      <c r="R71" s="340"/>
      <c r="S71" s="340"/>
      <c r="T71" s="340"/>
    </row>
    <row r="72" spans="2:20" x14ac:dyDescent="0.2">
      <c r="B72" s="340"/>
      <c r="C72" s="340"/>
      <c r="D72" s="340"/>
      <c r="E72" s="340"/>
      <c r="F72" s="340"/>
      <c r="G72" s="340"/>
      <c r="H72" s="340"/>
      <c r="I72" s="340"/>
      <c r="J72" s="340"/>
      <c r="K72" s="340"/>
      <c r="L72" s="340"/>
      <c r="M72" s="340"/>
      <c r="N72" s="340"/>
      <c r="O72" s="340"/>
      <c r="P72" s="340"/>
      <c r="Q72" s="340"/>
      <c r="R72" s="340"/>
      <c r="S72" s="340"/>
      <c r="T72" s="340"/>
    </row>
    <row r="73" spans="2:20" x14ac:dyDescent="0.2">
      <c r="B73" s="340"/>
      <c r="C73" s="340"/>
      <c r="D73" s="340"/>
      <c r="E73" s="340"/>
      <c r="F73" s="340"/>
      <c r="G73" s="340"/>
      <c r="H73" s="340"/>
      <c r="I73" s="340"/>
      <c r="J73" s="340"/>
      <c r="K73" s="340"/>
      <c r="L73" s="340"/>
      <c r="M73" s="340"/>
      <c r="N73" s="340"/>
      <c r="O73" s="340"/>
      <c r="P73" s="340"/>
      <c r="Q73" s="340"/>
      <c r="R73" s="340"/>
      <c r="S73" s="340"/>
      <c r="T73" s="340"/>
    </row>
    <row r="74" spans="2:20" x14ac:dyDescent="0.2">
      <c r="B74" s="340"/>
      <c r="C74" s="340"/>
      <c r="D74" s="340"/>
      <c r="E74" s="340"/>
      <c r="F74" s="340"/>
      <c r="G74" s="340"/>
      <c r="H74" s="340"/>
      <c r="I74" s="340"/>
      <c r="J74" s="340"/>
      <c r="K74" s="340"/>
      <c r="L74" s="340"/>
      <c r="M74" s="340"/>
      <c r="N74" s="340"/>
      <c r="O74" s="340"/>
      <c r="P74" s="340"/>
      <c r="Q74" s="340"/>
      <c r="R74" s="340"/>
      <c r="S74" s="340"/>
      <c r="T74" s="340"/>
    </row>
    <row r="75" spans="2:20" x14ac:dyDescent="0.2">
      <c r="B75" s="340"/>
      <c r="C75" s="340"/>
      <c r="D75" s="340"/>
      <c r="E75" s="340"/>
      <c r="F75" s="340"/>
      <c r="G75" s="340"/>
      <c r="J75" s="340"/>
      <c r="K75" s="340"/>
      <c r="L75" s="340"/>
      <c r="M75" s="340"/>
      <c r="N75" s="340"/>
      <c r="O75" s="340"/>
      <c r="P75" s="340"/>
      <c r="Q75" s="340"/>
      <c r="R75" s="340"/>
      <c r="S75" s="340"/>
      <c r="T75" s="340"/>
    </row>
    <row r="76" spans="2:20" x14ac:dyDescent="0.2">
      <c r="B76" s="340"/>
      <c r="C76" s="340"/>
      <c r="D76" s="340"/>
      <c r="E76" s="340"/>
      <c r="F76" s="340"/>
      <c r="G76" s="340"/>
      <c r="J76" s="340"/>
      <c r="K76" s="340"/>
      <c r="L76" s="340"/>
      <c r="M76" s="340"/>
      <c r="N76" s="340"/>
      <c r="O76" s="340"/>
      <c r="P76" s="340"/>
      <c r="Q76" s="340"/>
      <c r="R76" s="340"/>
      <c r="S76" s="340"/>
      <c r="T76" s="340"/>
    </row>
    <row r="77" spans="2:20" x14ac:dyDescent="0.2">
      <c r="B77" s="340"/>
      <c r="C77" s="340"/>
      <c r="D77" s="340"/>
      <c r="E77" s="340"/>
      <c r="F77" s="340"/>
      <c r="G77" s="340"/>
      <c r="J77" s="340"/>
      <c r="K77" s="340"/>
      <c r="L77" s="340"/>
      <c r="M77" s="340"/>
      <c r="N77" s="340"/>
      <c r="O77" s="340"/>
      <c r="P77" s="340"/>
      <c r="Q77" s="340"/>
      <c r="R77" s="340"/>
      <c r="S77" s="340"/>
      <c r="T77" s="340"/>
    </row>
    <row r="78" spans="2:20" x14ac:dyDescent="0.2">
      <c r="B78" s="340"/>
      <c r="C78" s="340"/>
      <c r="D78" s="340"/>
      <c r="E78" s="340"/>
      <c r="F78" s="340"/>
      <c r="G78" s="340"/>
      <c r="J78" s="340"/>
      <c r="K78" s="340"/>
      <c r="L78" s="340"/>
      <c r="M78" s="340"/>
      <c r="N78" s="340"/>
      <c r="O78" s="340"/>
      <c r="P78" s="340"/>
      <c r="Q78" s="340"/>
      <c r="R78" s="340"/>
      <c r="S78" s="340"/>
      <c r="T78" s="340"/>
    </row>
    <row r="79" spans="2:20" x14ac:dyDescent="0.2">
      <c r="B79" s="340"/>
      <c r="C79" s="340"/>
      <c r="D79" s="340"/>
      <c r="E79" s="340"/>
      <c r="F79" s="340"/>
      <c r="G79" s="340"/>
      <c r="J79" s="340"/>
      <c r="K79" s="340"/>
      <c r="L79" s="340"/>
      <c r="M79" s="340"/>
      <c r="N79" s="340"/>
      <c r="O79" s="340"/>
      <c r="P79" s="340"/>
      <c r="Q79" s="340"/>
      <c r="R79" s="340"/>
      <c r="S79" s="340"/>
      <c r="T79" s="340"/>
    </row>
    <row r="80" spans="2:20" x14ac:dyDescent="0.2">
      <c r="B80" s="340"/>
      <c r="C80" s="340"/>
      <c r="D80" s="340"/>
      <c r="E80" s="340"/>
      <c r="F80" s="340"/>
      <c r="G80" s="340"/>
      <c r="J80" s="340"/>
      <c r="K80" s="340"/>
      <c r="L80" s="340"/>
      <c r="M80" s="340"/>
      <c r="N80" s="340"/>
      <c r="O80" s="340"/>
      <c r="P80" s="340"/>
      <c r="Q80" s="340"/>
      <c r="R80" s="340"/>
      <c r="S80" s="340"/>
      <c r="T80" s="340"/>
    </row>
    <row r="81" spans="2:20" x14ac:dyDescent="0.2">
      <c r="B81" s="340"/>
      <c r="C81" s="340"/>
      <c r="D81" s="340"/>
      <c r="E81" s="340"/>
      <c r="F81" s="340"/>
      <c r="G81" s="340"/>
      <c r="J81" s="340"/>
      <c r="K81" s="340"/>
      <c r="L81" s="340"/>
      <c r="M81" s="340"/>
      <c r="N81" s="340"/>
      <c r="O81" s="340"/>
      <c r="P81" s="340"/>
      <c r="Q81" s="340"/>
      <c r="R81" s="340"/>
      <c r="S81" s="340"/>
      <c r="T81" s="340"/>
    </row>
    <row r="82" spans="2:20" x14ac:dyDescent="0.2">
      <c r="B82" s="340"/>
      <c r="C82" s="340"/>
      <c r="D82" s="340"/>
      <c r="E82" s="340"/>
      <c r="F82" s="340"/>
      <c r="G82" s="340"/>
      <c r="J82" s="340"/>
      <c r="K82" s="340"/>
      <c r="L82" s="340"/>
      <c r="M82" s="340"/>
      <c r="N82" s="340"/>
      <c r="O82" s="340"/>
      <c r="P82" s="340"/>
      <c r="Q82" s="340"/>
      <c r="R82" s="340"/>
      <c r="S82" s="340"/>
      <c r="T82" s="340"/>
    </row>
    <row r="83" spans="2:20" x14ac:dyDescent="0.2">
      <c r="J83" s="340"/>
      <c r="K83" s="340"/>
      <c r="L83" s="340"/>
      <c r="M83" s="340"/>
      <c r="N83" s="340"/>
      <c r="O83" s="340"/>
      <c r="P83" s="340"/>
      <c r="Q83" s="340"/>
      <c r="R83" s="340"/>
      <c r="S83" s="340"/>
      <c r="T83" s="340"/>
    </row>
    <row r="84" spans="2:20" x14ac:dyDescent="0.2">
      <c r="J84" s="340"/>
      <c r="K84" s="340"/>
      <c r="L84" s="340"/>
      <c r="M84" s="340"/>
      <c r="N84" s="340"/>
      <c r="O84" s="340"/>
      <c r="P84" s="340"/>
      <c r="Q84" s="340"/>
      <c r="R84" s="340"/>
      <c r="S84" s="340"/>
      <c r="T84" s="340"/>
    </row>
    <row r="85" spans="2:20" x14ac:dyDescent="0.2">
      <c r="J85" s="340"/>
      <c r="K85" s="340"/>
      <c r="L85" s="340"/>
      <c r="M85" s="340"/>
      <c r="N85" s="340"/>
      <c r="O85" s="340"/>
      <c r="P85" s="340"/>
      <c r="Q85" s="340"/>
      <c r="R85" s="340"/>
      <c r="S85" s="340"/>
      <c r="T85" s="340"/>
    </row>
    <row r="86" spans="2:20" x14ac:dyDescent="0.2">
      <c r="J86" s="340"/>
      <c r="K86" s="340"/>
      <c r="L86" s="340"/>
      <c r="M86" s="340"/>
      <c r="N86" s="340"/>
      <c r="O86" s="340"/>
      <c r="P86" s="340"/>
      <c r="Q86" s="340"/>
      <c r="R86" s="340"/>
      <c r="S86" s="340"/>
      <c r="T86" s="340"/>
    </row>
    <row r="87" spans="2:20" x14ac:dyDescent="0.2">
      <c r="J87" s="340"/>
      <c r="K87" s="340"/>
      <c r="L87" s="340"/>
      <c r="M87" s="340"/>
      <c r="N87" s="340"/>
      <c r="O87" s="340"/>
      <c r="P87" s="340"/>
      <c r="Q87" s="340"/>
      <c r="R87" s="340"/>
      <c r="S87" s="340"/>
      <c r="T87" s="340"/>
    </row>
    <row r="88" spans="2:20" x14ac:dyDescent="0.2">
      <c r="J88" s="340"/>
      <c r="K88" s="340"/>
      <c r="L88" s="340"/>
      <c r="M88" s="340"/>
      <c r="N88" s="340"/>
      <c r="O88" s="340"/>
      <c r="P88" s="340"/>
      <c r="Q88" s="340"/>
      <c r="R88" s="340"/>
      <c r="S88" s="340"/>
      <c r="T88" s="340"/>
    </row>
    <row r="89" spans="2:20" x14ac:dyDescent="0.2">
      <c r="J89" s="340"/>
      <c r="K89" s="340"/>
      <c r="L89" s="340"/>
      <c r="M89" s="340"/>
      <c r="N89" s="340"/>
      <c r="O89" s="340"/>
      <c r="P89" s="340"/>
      <c r="Q89" s="340"/>
      <c r="R89" s="340"/>
      <c r="S89" s="340"/>
      <c r="T89" s="340"/>
    </row>
    <row r="90" spans="2:20" x14ac:dyDescent="0.2">
      <c r="J90" s="340"/>
      <c r="K90" s="340"/>
      <c r="L90" s="340"/>
      <c r="M90" s="340"/>
      <c r="N90" s="340"/>
      <c r="O90" s="340"/>
      <c r="P90" s="340"/>
      <c r="Q90" s="340"/>
      <c r="R90" s="340"/>
      <c r="S90" s="340"/>
      <c r="T90" s="340"/>
    </row>
    <row r="91" spans="2:20" x14ac:dyDescent="0.2">
      <c r="J91" s="340"/>
      <c r="K91" s="340"/>
      <c r="L91" s="340"/>
      <c r="M91" s="340"/>
      <c r="N91" s="340"/>
      <c r="O91" s="340"/>
      <c r="P91" s="340"/>
      <c r="Q91" s="340"/>
      <c r="R91" s="340"/>
      <c r="S91" s="340"/>
      <c r="T91" s="340"/>
    </row>
    <row r="92" spans="2:20" x14ac:dyDescent="0.2">
      <c r="J92" s="340"/>
      <c r="K92" s="340"/>
      <c r="L92" s="340"/>
      <c r="M92" s="340"/>
      <c r="N92" s="340"/>
      <c r="O92" s="340"/>
      <c r="P92" s="340"/>
      <c r="Q92" s="340"/>
      <c r="R92" s="340"/>
      <c r="S92" s="340"/>
      <c r="T92" s="340"/>
    </row>
    <row r="93" spans="2:20" x14ac:dyDescent="0.2">
      <c r="J93" s="340"/>
      <c r="K93" s="340"/>
      <c r="L93" s="340"/>
      <c r="M93" s="340"/>
      <c r="N93" s="340"/>
      <c r="O93" s="340"/>
      <c r="P93" s="340"/>
      <c r="Q93" s="340"/>
      <c r="R93" s="340"/>
      <c r="S93" s="340"/>
      <c r="T93" s="340"/>
    </row>
    <row r="94" spans="2:20" x14ac:dyDescent="0.2">
      <c r="J94" s="340"/>
      <c r="K94" s="340"/>
      <c r="L94" s="340"/>
      <c r="M94" s="340"/>
      <c r="N94" s="340"/>
      <c r="O94" s="340"/>
      <c r="P94" s="340"/>
      <c r="Q94" s="340"/>
      <c r="R94" s="340"/>
      <c r="S94" s="340"/>
      <c r="T94" s="340"/>
    </row>
    <row r="95" spans="2:20" x14ac:dyDescent="0.2">
      <c r="J95" s="340"/>
      <c r="K95" s="340"/>
      <c r="L95" s="340"/>
      <c r="M95" s="340"/>
      <c r="N95" s="340"/>
      <c r="O95" s="340"/>
      <c r="P95" s="340"/>
      <c r="Q95" s="340"/>
      <c r="R95" s="340"/>
      <c r="S95" s="340"/>
      <c r="T95" s="340"/>
    </row>
    <row r="96" spans="2:20" x14ac:dyDescent="0.2">
      <c r="J96" s="340"/>
      <c r="K96" s="340"/>
      <c r="L96" s="340"/>
      <c r="M96" s="340"/>
      <c r="N96" s="340"/>
      <c r="O96" s="340"/>
      <c r="P96" s="340"/>
      <c r="Q96" s="340"/>
      <c r="R96" s="340"/>
      <c r="S96" s="340"/>
      <c r="T96" s="340"/>
    </row>
    <row r="97" spans="10:20" x14ac:dyDescent="0.2">
      <c r="J97" s="340"/>
      <c r="K97" s="340"/>
      <c r="L97" s="340"/>
      <c r="M97" s="340"/>
      <c r="N97" s="340"/>
      <c r="O97" s="340"/>
      <c r="P97" s="340"/>
      <c r="Q97" s="340"/>
      <c r="R97" s="340"/>
      <c r="S97" s="340"/>
      <c r="T97" s="340"/>
    </row>
    <row r="98" spans="10:20" x14ac:dyDescent="0.2">
      <c r="J98" s="340"/>
      <c r="K98" s="340"/>
      <c r="L98" s="340"/>
      <c r="M98" s="340"/>
      <c r="N98" s="340"/>
      <c r="O98" s="340"/>
      <c r="P98" s="340"/>
      <c r="Q98" s="340"/>
      <c r="R98" s="340"/>
      <c r="S98" s="340"/>
      <c r="T98" s="340"/>
    </row>
    <row r="99" spans="10:20" x14ac:dyDescent="0.2">
      <c r="J99" s="340"/>
      <c r="K99" s="340"/>
      <c r="L99" s="340"/>
      <c r="M99" s="340"/>
      <c r="N99" s="340"/>
      <c r="O99" s="340"/>
      <c r="P99" s="340"/>
      <c r="Q99" s="340"/>
      <c r="R99" s="340"/>
      <c r="S99" s="340"/>
      <c r="T99" s="340"/>
    </row>
    <row r="100" spans="10:20" x14ac:dyDescent="0.2">
      <c r="J100" s="340"/>
      <c r="K100" s="340"/>
      <c r="L100" s="340"/>
      <c r="M100" s="340"/>
      <c r="N100" s="340"/>
      <c r="O100" s="340"/>
      <c r="P100" s="340"/>
      <c r="Q100" s="340"/>
      <c r="R100" s="340"/>
      <c r="S100" s="340"/>
      <c r="T100" s="340"/>
    </row>
    <row r="101" spans="10:20" x14ac:dyDescent="0.2">
      <c r="J101" s="340"/>
      <c r="K101" s="340"/>
      <c r="L101" s="340"/>
      <c r="M101" s="340"/>
      <c r="N101" s="340"/>
      <c r="O101" s="340"/>
      <c r="P101" s="340"/>
      <c r="Q101" s="340"/>
      <c r="R101" s="340"/>
      <c r="S101" s="340"/>
      <c r="T101" s="340"/>
    </row>
    <row r="102" spans="10:20" x14ac:dyDescent="0.2">
      <c r="J102" s="340"/>
      <c r="K102" s="340"/>
      <c r="L102" s="340"/>
      <c r="M102" s="340"/>
      <c r="N102" s="340"/>
      <c r="O102" s="340"/>
      <c r="P102" s="340"/>
      <c r="Q102" s="340"/>
      <c r="R102" s="340"/>
      <c r="S102" s="340"/>
      <c r="T102" s="340"/>
    </row>
    <row r="103" spans="10:20" x14ac:dyDescent="0.2">
      <c r="J103" s="340"/>
      <c r="K103" s="340"/>
      <c r="L103" s="340"/>
      <c r="M103" s="340"/>
      <c r="N103" s="340"/>
      <c r="O103" s="340"/>
      <c r="P103" s="340"/>
      <c r="Q103" s="340"/>
      <c r="R103" s="340"/>
      <c r="S103" s="340"/>
      <c r="T103" s="340"/>
    </row>
    <row r="104" spans="10:20" x14ac:dyDescent="0.2">
      <c r="J104" s="340"/>
      <c r="K104" s="340"/>
      <c r="L104" s="340"/>
      <c r="M104" s="340"/>
      <c r="N104" s="340"/>
      <c r="O104" s="340"/>
      <c r="P104" s="340"/>
      <c r="Q104" s="340"/>
      <c r="R104" s="340"/>
      <c r="S104" s="340"/>
      <c r="T104" s="340"/>
    </row>
    <row r="105" spans="10:20" x14ac:dyDescent="0.2">
      <c r="J105" s="340"/>
      <c r="K105" s="340"/>
      <c r="L105" s="340"/>
      <c r="M105" s="340"/>
      <c r="N105" s="340"/>
      <c r="O105" s="340"/>
      <c r="P105" s="340"/>
      <c r="Q105" s="340"/>
      <c r="R105" s="340"/>
      <c r="S105" s="340"/>
      <c r="T105" s="340"/>
    </row>
    <row r="106" spans="10:20" x14ac:dyDescent="0.2">
      <c r="J106" s="340"/>
      <c r="K106" s="340"/>
      <c r="L106" s="340"/>
      <c r="M106" s="340"/>
      <c r="N106" s="340"/>
      <c r="O106" s="340"/>
      <c r="P106" s="340"/>
      <c r="Q106" s="340"/>
      <c r="R106" s="340"/>
      <c r="S106" s="340"/>
      <c r="T106" s="340"/>
    </row>
    <row r="107" spans="10:20" x14ac:dyDescent="0.2">
      <c r="J107" s="340"/>
      <c r="K107" s="340"/>
      <c r="L107" s="340"/>
      <c r="M107" s="340"/>
      <c r="N107" s="340"/>
      <c r="O107" s="340"/>
      <c r="P107" s="340"/>
      <c r="Q107" s="340"/>
      <c r="R107" s="340"/>
      <c r="S107" s="340"/>
      <c r="T107" s="340"/>
    </row>
    <row r="108" spans="10:20" x14ac:dyDescent="0.2">
      <c r="J108" s="340"/>
      <c r="K108" s="340"/>
      <c r="L108" s="340"/>
      <c r="M108" s="340"/>
      <c r="N108" s="340"/>
      <c r="O108" s="340"/>
      <c r="P108" s="340"/>
      <c r="Q108" s="340"/>
      <c r="R108" s="340"/>
      <c r="S108" s="340"/>
      <c r="T108" s="340"/>
    </row>
    <row r="109" spans="10:20" x14ac:dyDescent="0.2">
      <c r="J109" s="340"/>
      <c r="K109" s="340"/>
      <c r="L109" s="340"/>
      <c r="M109" s="340"/>
      <c r="N109" s="340"/>
      <c r="O109" s="340"/>
      <c r="P109" s="340"/>
      <c r="Q109" s="340"/>
      <c r="R109" s="340"/>
      <c r="S109" s="340"/>
      <c r="T109" s="340"/>
    </row>
    <row r="110" spans="10:20" x14ac:dyDescent="0.2">
      <c r="J110" s="340"/>
      <c r="K110" s="340"/>
      <c r="L110" s="340"/>
      <c r="M110" s="340"/>
      <c r="N110" s="340"/>
      <c r="O110" s="340"/>
      <c r="P110" s="340"/>
      <c r="Q110" s="340"/>
      <c r="R110" s="340"/>
      <c r="S110" s="340"/>
      <c r="T110" s="340"/>
    </row>
    <row r="111" spans="10:20" x14ac:dyDescent="0.2">
      <c r="J111" s="340"/>
      <c r="K111" s="340"/>
      <c r="L111" s="340"/>
      <c r="M111" s="340"/>
      <c r="N111" s="340"/>
      <c r="O111" s="340"/>
      <c r="P111" s="340"/>
      <c r="Q111" s="340"/>
      <c r="R111" s="340"/>
      <c r="S111" s="340"/>
      <c r="T111" s="340"/>
    </row>
    <row r="112" spans="10:20" x14ac:dyDescent="0.2">
      <c r="J112" s="340"/>
      <c r="K112" s="340"/>
      <c r="L112" s="340"/>
      <c r="M112" s="340"/>
      <c r="N112" s="340"/>
      <c r="O112" s="340"/>
      <c r="P112" s="340"/>
      <c r="Q112" s="340"/>
      <c r="R112" s="340"/>
      <c r="S112" s="340"/>
      <c r="T112" s="340"/>
    </row>
    <row r="113" spans="10:20" x14ac:dyDescent="0.2">
      <c r="J113" s="340"/>
      <c r="K113" s="340"/>
      <c r="L113" s="340"/>
      <c r="M113" s="340"/>
      <c r="N113" s="340"/>
      <c r="O113" s="340"/>
      <c r="P113" s="340"/>
      <c r="Q113" s="340"/>
      <c r="R113" s="340"/>
      <c r="S113" s="340"/>
      <c r="T113" s="340"/>
    </row>
    <row r="114" spans="10:20" x14ac:dyDescent="0.2">
      <c r="J114" s="340"/>
      <c r="K114" s="340"/>
      <c r="L114" s="340"/>
      <c r="M114" s="340"/>
      <c r="N114" s="340"/>
      <c r="O114" s="340"/>
      <c r="P114" s="340"/>
      <c r="Q114" s="340"/>
      <c r="R114" s="340"/>
      <c r="S114" s="340"/>
      <c r="T114" s="340"/>
    </row>
  </sheetData>
  <sheetProtection algorithmName="SHA-512" hashValue="1U74YitzVDS5My2VjzgfDCTb4wkxRcPZa57ex8dkee+N4Nfadbdlou9mDIPMwnSfXH3UOLtiO11Fqx8t2XYRQw==" saltValue="qqsuyJcg7bdolYymYtDzxQ==" spinCount="100000" sheet="1" objects="1" scenarios="1"/>
  <mergeCells count="25">
    <mergeCell ref="B4:I4"/>
    <mergeCell ref="B6:B11"/>
    <mergeCell ref="C15:D15"/>
    <mergeCell ref="C19:D19"/>
    <mergeCell ref="C18:D18"/>
    <mergeCell ref="C16:D16"/>
    <mergeCell ref="C14:D14"/>
    <mergeCell ref="C17:D17"/>
    <mergeCell ref="B14:B19"/>
    <mergeCell ref="B50:I50"/>
    <mergeCell ref="B51:I56"/>
    <mergeCell ref="C24:E24"/>
    <mergeCell ref="B23:B33"/>
    <mergeCell ref="C28:H28"/>
    <mergeCell ref="C26:E26"/>
    <mergeCell ref="C25:E25"/>
    <mergeCell ref="C27:E27"/>
    <mergeCell ref="C23:E23"/>
    <mergeCell ref="C34:H34"/>
    <mergeCell ref="C31:E31"/>
    <mergeCell ref="C32:E32"/>
    <mergeCell ref="C30:E30"/>
    <mergeCell ref="C33:E33"/>
    <mergeCell ref="D37:G37"/>
    <mergeCell ref="C29:E29"/>
  </mergeCells>
  <phoneticPr fontId="50" type="noConversion"/>
  <pageMargins left="0.78740157480314965" right="0.5" top="0.59055118110236227" bottom="0.59055118110236227" header="0.51181102362204722" footer="0.51181102362204722"/>
  <pageSetup paperSize="9" scale="75" orientation="landscape" horizontalDpi="4294967293" r:id="rId1"/>
  <headerFooter alignWithMargins="0">
    <oddHeader>&amp;A</oddHeader>
    <oddFooter>Página &amp;P</oddFooter>
  </headerFooter>
  <rowBreaks count="2" manualBreakCount="2">
    <brk id="63" max="16383" man="1"/>
    <brk id="100" max="16383" man="1"/>
  </rowBreaks>
  <colBreaks count="2" manualBreakCount="2">
    <brk id="10" max="1048575" man="1"/>
    <brk id="16" max="1048575"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2">
    <tabColor rgb="FFFFFF00"/>
    <pageSetUpPr fitToPage="1"/>
  </sheetPr>
  <dimension ref="A1:AH592"/>
  <sheetViews>
    <sheetView showGridLines="0" zoomScaleNormal="100" workbookViewId="0">
      <selection activeCell="E48" sqref="E48"/>
    </sheetView>
  </sheetViews>
  <sheetFormatPr defaultColWidth="11.42578125" defaultRowHeight="12.75" x14ac:dyDescent="0.2"/>
  <cols>
    <col min="1" max="1" width="3.140625" style="24" customWidth="1"/>
    <col min="2" max="2" width="29.5703125" style="24" customWidth="1"/>
    <col min="3" max="14" width="10.7109375" style="24" customWidth="1"/>
    <col min="15" max="15" width="11.5703125" style="24" bestFit="1" customWidth="1"/>
    <col min="16" max="18" width="11.42578125" style="24" customWidth="1"/>
    <col min="19" max="21" width="11.42578125" style="23" customWidth="1"/>
    <col min="22" max="16384" width="11.42578125" style="24"/>
  </cols>
  <sheetData>
    <row r="1" spans="1:34" ht="6.75" customHeight="1" thickBot="1" x14ac:dyDescent="0.25">
      <c r="A1" s="28"/>
      <c r="B1" s="543"/>
      <c r="C1" s="543"/>
      <c r="D1" s="543"/>
      <c r="E1" s="543"/>
      <c r="F1" s="543"/>
      <c r="G1" s="543"/>
      <c r="H1" s="543"/>
      <c r="I1" s="543"/>
      <c r="J1" s="543"/>
      <c r="K1" s="543"/>
      <c r="L1" s="543"/>
      <c r="M1" s="543"/>
      <c r="N1" s="543"/>
      <c r="O1" s="543"/>
      <c r="P1" s="23"/>
    </row>
    <row r="2" spans="1:34" ht="21" customHeight="1" thickBot="1" x14ac:dyDescent="0.25">
      <c r="B2" s="2708" t="str">
        <f>CADASTRO!C4</f>
        <v>Digitar o nome</v>
      </c>
      <c r="C2" s="1906"/>
      <c r="D2" s="1906"/>
      <c r="E2" s="1906"/>
      <c r="F2" s="1906"/>
      <c r="G2" s="1906"/>
      <c r="H2" s="1906"/>
      <c r="I2" s="1906"/>
      <c r="J2" s="1906"/>
      <c r="K2" s="1906"/>
      <c r="L2" s="1906"/>
      <c r="M2" s="1906"/>
      <c r="N2" s="2080">
        <f>CADASTRO!C12</f>
        <v>44013</v>
      </c>
      <c r="O2" s="2083">
        <f>CADASTRO!C14</f>
        <v>44377</v>
      </c>
      <c r="P2" s="25"/>
      <c r="Q2" s="28"/>
      <c r="R2" s="28"/>
      <c r="S2" s="25"/>
      <c r="T2" s="25"/>
      <c r="U2" s="25"/>
      <c r="V2" s="28"/>
      <c r="W2" s="28"/>
      <c r="X2" s="28"/>
      <c r="Y2" s="28"/>
      <c r="Z2" s="28"/>
      <c r="AA2" s="28"/>
      <c r="AB2" s="28"/>
      <c r="AC2" s="28"/>
      <c r="AD2" s="28"/>
      <c r="AE2" s="28"/>
      <c r="AF2" s="28"/>
      <c r="AG2" s="28"/>
      <c r="AH2" s="28"/>
    </row>
    <row r="3" spans="1:34" s="543" customFormat="1" ht="5.25" customHeight="1" thickBot="1" x14ac:dyDescent="0.25">
      <c r="A3" s="25"/>
      <c r="P3" s="25"/>
      <c r="Q3" s="25"/>
      <c r="R3" s="25"/>
      <c r="S3" s="25"/>
      <c r="T3" s="25"/>
      <c r="U3" s="25"/>
      <c r="V3" s="25"/>
      <c r="W3" s="25"/>
      <c r="X3" s="25"/>
      <c r="Y3" s="25"/>
      <c r="Z3" s="25"/>
      <c r="AA3" s="25"/>
      <c r="AB3" s="25"/>
      <c r="AC3" s="25"/>
      <c r="AD3" s="25"/>
      <c r="AE3" s="25"/>
      <c r="AF3" s="25"/>
      <c r="AG3" s="25"/>
      <c r="AH3" s="25"/>
    </row>
    <row r="4" spans="1:34" ht="24.75" customHeight="1" thickBot="1" x14ac:dyDescent="0.25">
      <c r="B4" s="2803" t="s">
        <v>959</v>
      </c>
      <c r="C4" s="2804"/>
      <c r="D4" s="2804"/>
      <c r="E4" s="2804"/>
      <c r="F4" s="2804"/>
      <c r="G4" s="2804"/>
      <c r="H4" s="2804"/>
      <c r="I4" s="2804"/>
      <c r="J4" s="2804"/>
      <c r="K4" s="2804"/>
      <c r="L4" s="2804"/>
      <c r="M4" s="2804"/>
      <c r="N4" s="2804"/>
      <c r="O4" s="2805"/>
      <c r="P4" s="23"/>
    </row>
    <row r="5" spans="1:34" ht="9.75" customHeight="1" thickBot="1" x14ac:dyDescent="0.25">
      <c r="B5" s="2478"/>
      <c r="C5" s="476"/>
      <c r="D5" s="476"/>
      <c r="E5" s="476"/>
      <c r="F5" s="476"/>
      <c r="G5" s="476"/>
      <c r="H5" s="476"/>
      <c r="I5" s="476"/>
      <c r="J5" s="476"/>
      <c r="K5" s="476"/>
      <c r="L5" s="476"/>
      <c r="M5" s="476"/>
      <c r="N5" s="476"/>
      <c r="O5" s="543"/>
      <c r="P5" s="23"/>
    </row>
    <row r="6" spans="1:34" ht="21" customHeight="1" thickBot="1" x14ac:dyDescent="0.25">
      <c r="B6" s="3005" t="s">
        <v>1044</v>
      </c>
      <c r="C6" s="3006"/>
      <c r="D6" s="3006"/>
      <c r="E6" s="3006"/>
      <c r="F6" s="3006"/>
      <c r="G6" s="3006"/>
      <c r="H6" s="3006"/>
      <c r="I6" s="3006"/>
      <c r="J6" s="3006"/>
      <c r="K6" s="3006"/>
      <c r="L6" s="3006"/>
      <c r="M6" s="3006"/>
      <c r="N6" s="3006"/>
      <c r="O6" s="3007"/>
      <c r="P6" s="23"/>
    </row>
    <row r="7" spans="1:34" ht="18" customHeight="1" thickBot="1" x14ac:dyDescent="0.25">
      <c r="B7" s="1797" t="s">
        <v>883</v>
      </c>
      <c r="C7" s="2484" t="s">
        <v>876</v>
      </c>
      <c r="D7" s="2182" t="s">
        <v>827</v>
      </c>
      <c r="E7" s="2182" t="s">
        <v>828</v>
      </c>
      <c r="F7" s="2182" t="s">
        <v>829</v>
      </c>
      <c r="G7" s="2182" t="s">
        <v>830</v>
      </c>
      <c r="H7" s="2182" t="s">
        <v>831</v>
      </c>
      <c r="I7" s="2182" t="s">
        <v>822</v>
      </c>
      <c r="J7" s="2182" t="s">
        <v>823</v>
      </c>
      <c r="K7" s="2182" t="s">
        <v>824</v>
      </c>
      <c r="L7" s="2182" t="s">
        <v>825</v>
      </c>
      <c r="M7" s="2182" t="s">
        <v>826</v>
      </c>
      <c r="N7" s="2485" t="s">
        <v>877</v>
      </c>
      <c r="O7" s="1797" t="s">
        <v>434</v>
      </c>
      <c r="P7" s="23"/>
    </row>
    <row r="8" spans="1:34" x14ac:dyDescent="0.2">
      <c r="B8" s="2483"/>
      <c r="C8" s="2479"/>
      <c r="D8" s="2180"/>
      <c r="E8" s="2180"/>
      <c r="F8" s="2180"/>
      <c r="G8" s="2180"/>
      <c r="H8" s="2180"/>
      <c r="I8" s="2180"/>
      <c r="J8" s="2180"/>
      <c r="K8" s="2180"/>
      <c r="L8" s="2180"/>
      <c r="M8" s="2180"/>
      <c r="N8" s="2486"/>
      <c r="O8" s="2490" t="str">
        <f>IF(SUM(C8:N8)=0,"",SUM(C8:N8))</f>
        <v/>
      </c>
      <c r="P8" s="23"/>
    </row>
    <row r="9" spans="1:34" x14ac:dyDescent="0.2">
      <c r="B9" s="2482"/>
      <c r="C9" s="2480"/>
      <c r="D9" s="2179"/>
      <c r="E9" s="2179"/>
      <c r="F9" s="2179"/>
      <c r="G9" s="2179"/>
      <c r="H9" s="2179"/>
      <c r="I9" s="2179"/>
      <c r="J9" s="2179"/>
      <c r="K9" s="2179"/>
      <c r="L9" s="2179"/>
      <c r="M9" s="2179"/>
      <c r="N9" s="2487"/>
      <c r="O9" s="2490" t="str">
        <f>IF(SUM(C9:N9)=0,"",SUM(C9:N9))</f>
        <v/>
      </c>
      <c r="P9" s="23"/>
    </row>
    <row r="10" spans="1:34" x14ac:dyDescent="0.2">
      <c r="B10" s="2482"/>
      <c r="C10" s="2480"/>
      <c r="D10" s="2179"/>
      <c r="E10" s="2179"/>
      <c r="F10" s="2179"/>
      <c r="G10" s="2179"/>
      <c r="H10" s="2179"/>
      <c r="I10" s="2179"/>
      <c r="J10" s="2179"/>
      <c r="K10" s="2179"/>
      <c r="L10" s="2179"/>
      <c r="M10" s="2179"/>
      <c r="N10" s="2487"/>
      <c r="O10" s="2490" t="str">
        <f>IF(SUM(C10:N10)=0,"",SUM(C10:N10))</f>
        <v/>
      </c>
      <c r="P10" s="23"/>
    </row>
    <row r="11" spans="1:34" x14ac:dyDescent="0.2">
      <c r="B11" s="2482"/>
      <c r="C11" s="2480"/>
      <c r="D11" s="2179"/>
      <c r="E11" s="2179"/>
      <c r="F11" s="2179"/>
      <c r="G11" s="2179"/>
      <c r="H11" s="2179"/>
      <c r="I11" s="2179"/>
      <c r="J11" s="2179"/>
      <c r="K11" s="2179"/>
      <c r="L11" s="2179"/>
      <c r="M11" s="2179"/>
      <c r="N11" s="2487"/>
      <c r="O11" s="2490" t="str">
        <f>IF(SUM(C11:N11)=0,"",SUM(C11:N11))</f>
        <v/>
      </c>
      <c r="P11" s="23"/>
    </row>
    <row r="12" spans="1:34" ht="13.5" thickBot="1" x14ac:dyDescent="0.25">
      <c r="B12" s="2482"/>
      <c r="C12" s="2481"/>
      <c r="D12" s="2181"/>
      <c r="E12" s="2181"/>
      <c r="F12" s="2181"/>
      <c r="G12" s="2181"/>
      <c r="H12" s="2181"/>
      <c r="I12" s="2181"/>
      <c r="J12" s="2181"/>
      <c r="K12" s="2181"/>
      <c r="L12" s="2181"/>
      <c r="M12" s="2181"/>
      <c r="N12" s="2488"/>
      <c r="O12" s="2490" t="str">
        <f>IF(SUM(C12:N12)=0,"",SUM(C12:N12))</f>
        <v/>
      </c>
    </row>
    <row r="13" spans="1:34" ht="18" customHeight="1" thickBot="1" x14ac:dyDescent="0.25">
      <c r="B13" s="2196" t="s">
        <v>82</v>
      </c>
      <c r="C13" s="2491">
        <f t="shared" ref="C13:N13" si="0">SUM(C8:C12)</f>
        <v>0</v>
      </c>
      <c r="D13" s="2492">
        <f t="shared" si="0"/>
        <v>0</v>
      </c>
      <c r="E13" s="2492">
        <f t="shared" si="0"/>
        <v>0</v>
      </c>
      <c r="F13" s="2492">
        <f t="shared" si="0"/>
        <v>0</v>
      </c>
      <c r="G13" s="2492">
        <f t="shared" si="0"/>
        <v>0</v>
      </c>
      <c r="H13" s="2492">
        <f t="shared" si="0"/>
        <v>0</v>
      </c>
      <c r="I13" s="2492">
        <f t="shared" si="0"/>
        <v>0</v>
      </c>
      <c r="J13" s="2492">
        <f t="shared" si="0"/>
        <v>0</v>
      </c>
      <c r="K13" s="2492">
        <f t="shared" si="0"/>
        <v>0</v>
      </c>
      <c r="L13" s="2492">
        <f t="shared" si="0"/>
        <v>0</v>
      </c>
      <c r="M13" s="2492">
        <f t="shared" si="0"/>
        <v>0</v>
      </c>
      <c r="N13" s="2493">
        <f t="shared" si="0"/>
        <v>0</v>
      </c>
      <c r="O13" s="2489">
        <f>SUM(C13:N13)</f>
        <v>0</v>
      </c>
    </row>
    <row r="14" spans="1:34" x14ac:dyDescent="0.2">
      <c r="B14" s="1886" t="s">
        <v>947</v>
      </c>
      <c r="C14" s="23"/>
      <c r="D14" s="23"/>
      <c r="E14" s="23"/>
      <c r="F14" s="23"/>
      <c r="G14" s="23"/>
      <c r="H14" s="23"/>
      <c r="I14" s="23"/>
      <c r="J14" s="23"/>
      <c r="K14" s="23"/>
      <c r="L14" s="23"/>
      <c r="M14" s="23"/>
      <c r="N14" s="23"/>
      <c r="S14" s="24"/>
      <c r="T14" s="24"/>
      <c r="U14" s="24"/>
    </row>
    <row r="15" spans="1:34" ht="12.75" hidden="1" customHeight="1" x14ac:dyDescent="0.2">
      <c r="B15" s="23" t="s">
        <v>44</v>
      </c>
      <c r="C15" s="23" t="s">
        <v>37</v>
      </c>
      <c r="D15" s="23"/>
      <c r="E15" s="23"/>
      <c r="F15" s="23"/>
      <c r="G15" s="23"/>
      <c r="H15" s="23"/>
      <c r="I15" s="23"/>
      <c r="J15" s="23"/>
      <c r="K15" s="23"/>
      <c r="L15" s="23"/>
      <c r="M15" s="23"/>
      <c r="N15" s="23"/>
      <c r="O15" s="1798"/>
      <c r="P15" s="23"/>
    </row>
    <row r="16" spans="1:34" ht="12.75" hidden="1" customHeight="1" x14ac:dyDescent="0.2">
      <c r="B16" s="23" t="s">
        <v>665</v>
      </c>
      <c r="C16" s="23"/>
      <c r="D16" s="23"/>
      <c r="E16" s="23"/>
      <c r="F16" s="23"/>
      <c r="G16" s="23"/>
      <c r="H16" s="23"/>
      <c r="I16" s="23"/>
      <c r="J16" s="23"/>
      <c r="K16" s="23"/>
      <c r="L16" s="23"/>
      <c r="M16" s="23"/>
      <c r="N16" s="23"/>
      <c r="O16" s="1799"/>
      <c r="P16" s="23"/>
    </row>
    <row r="17" spans="2:16" ht="12.75" hidden="1" customHeight="1" x14ac:dyDescent="0.2">
      <c r="B17" s="23"/>
      <c r="C17" s="23"/>
      <c r="D17" s="23"/>
      <c r="E17" s="23"/>
      <c r="F17" s="23"/>
      <c r="G17" s="23"/>
      <c r="H17" s="23"/>
      <c r="I17" s="23"/>
      <c r="J17" s="23"/>
      <c r="K17" s="23"/>
      <c r="L17" s="23"/>
      <c r="M17" s="23"/>
      <c r="N17" s="23"/>
      <c r="O17" s="1799"/>
      <c r="P17" s="23"/>
    </row>
    <row r="18" spans="2:16" ht="12.75" hidden="1" customHeight="1" x14ac:dyDescent="0.2">
      <c r="B18" s="23"/>
      <c r="C18" s="23"/>
      <c r="D18" s="23"/>
      <c r="E18" s="23"/>
      <c r="F18" s="23"/>
      <c r="G18" s="23"/>
      <c r="H18" s="23"/>
      <c r="I18" s="23"/>
      <c r="J18" s="23"/>
      <c r="K18" s="23"/>
      <c r="L18" s="23"/>
      <c r="M18" s="23"/>
      <c r="N18" s="23"/>
      <c r="O18" s="1799"/>
      <c r="P18" s="23"/>
    </row>
    <row r="19" spans="2:16" ht="12.75" hidden="1" customHeight="1" x14ac:dyDescent="0.2">
      <c r="B19" s="23" t="s">
        <v>46</v>
      </c>
      <c r="C19" s="23">
        <f>SUM(C16:C18)</f>
        <v>0</v>
      </c>
      <c r="D19" s="23"/>
      <c r="E19" s="23"/>
      <c r="F19" s="23"/>
      <c r="G19" s="23"/>
      <c r="H19" s="23"/>
      <c r="I19" s="23"/>
      <c r="J19" s="23"/>
      <c r="K19" s="23"/>
      <c r="L19" s="23"/>
      <c r="M19" s="23"/>
      <c r="N19" s="23"/>
      <c r="O19" s="1794"/>
      <c r="P19" s="23"/>
    </row>
    <row r="20" spans="2:16" ht="12.75" hidden="1" customHeight="1" x14ac:dyDescent="0.2">
      <c r="B20" s="23"/>
      <c r="C20" s="23"/>
      <c r="D20" s="23"/>
      <c r="E20" s="23"/>
      <c r="F20" s="23"/>
      <c r="G20" s="23"/>
      <c r="H20" s="23"/>
      <c r="I20" s="23"/>
      <c r="J20" s="23"/>
      <c r="K20" s="23"/>
      <c r="L20" s="23"/>
      <c r="M20" s="23"/>
      <c r="N20" s="23"/>
      <c r="O20" s="1801"/>
      <c r="P20" s="23"/>
    </row>
    <row r="21" spans="2:16" ht="12.75" hidden="1" customHeight="1" x14ac:dyDescent="0.2">
      <c r="B21" s="23"/>
      <c r="C21" s="23"/>
      <c r="D21" s="23"/>
      <c r="E21" s="23"/>
      <c r="F21" s="23"/>
      <c r="G21" s="23"/>
      <c r="H21" s="23"/>
      <c r="I21" s="23"/>
      <c r="J21" s="23"/>
      <c r="K21" s="23"/>
      <c r="L21" s="23"/>
      <c r="M21" s="23"/>
      <c r="N21" s="23"/>
      <c r="O21" s="1801"/>
      <c r="P21" s="23"/>
    </row>
    <row r="22" spans="2:16" ht="12.75" hidden="1" customHeight="1" x14ac:dyDescent="0.2">
      <c r="B22" s="23"/>
      <c r="C22" s="23"/>
      <c r="D22" s="23"/>
      <c r="E22" s="23"/>
      <c r="F22" s="23"/>
      <c r="G22" s="23"/>
      <c r="H22" s="23"/>
      <c r="I22" s="23"/>
      <c r="J22" s="23"/>
      <c r="K22" s="23"/>
      <c r="L22" s="23"/>
      <c r="M22" s="23"/>
      <c r="N22" s="23"/>
      <c r="O22" s="1801"/>
      <c r="P22" s="23"/>
    </row>
    <row r="23" spans="2:16" ht="12.75" hidden="1" customHeight="1" x14ac:dyDescent="0.2">
      <c r="B23" s="23"/>
      <c r="C23" s="23"/>
      <c r="D23" s="23"/>
      <c r="E23" s="23"/>
      <c r="F23" s="23"/>
      <c r="G23" s="23"/>
      <c r="H23" s="23"/>
      <c r="I23" s="23"/>
      <c r="J23" s="23"/>
      <c r="K23" s="23"/>
      <c r="L23" s="23"/>
      <c r="M23" s="23"/>
      <c r="N23" s="23"/>
      <c r="O23" s="546"/>
      <c r="P23" s="23"/>
    </row>
    <row r="24" spans="2:16" ht="12.75" hidden="1" customHeight="1" x14ac:dyDescent="0.2">
      <c r="B24" s="23"/>
      <c r="C24" s="23"/>
      <c r="D24" s="23"/>
      <c r="E24" s="23"/>
      <c r="F24" s="23"/>
      <c r="G24" s="23"/>
      <c r="H24" s="23"/>
      <c r="I24" s="23"/>
      <c r="J24" s="23"/>
      <c r="K24" s="23"/>
      <c r="L24" s="23"/>
      <c r="M24" s="23"/>
      <c r="N24" s="23"/>
      <c r="O24" s="546"/>
      <c r="P24" s="23"/>
    </row>
    <row r="25" spans="2:16" ht="12.75" hidden="1" customHeight="1" x14ac:dyDescent="0.2">
      <c r="B25" s="23"/>
      <c r="C25" s="23"/>
      <c r="D25" s="23"/>
      <c r="E25" s="23"/>
      <c r="F25" s="23"/>
      <c r="G25" s="23"/>
      <c r="H25" s="23"/>
      <c r="I25" s="23"/>
      <c r="J25" s="23"/>
      <c r="K25" s="23"/>
      <c r="L25" s="23"/>
      <c r="M25" s="23"/>
      <c r="N25" s="23"/>
      <c r="O25" s="548"/>
      <c r="P25" s="23"/>
    </row>
    <row r="26" spans="2:16" ht="13.5" hidden="1" customHeight="1" thickBot="1" x14ac:dyDescent="0.25">
      <c r="B26" s="23"/>
      <c r="C26" s="23" t="s">
        <v>47</v>
      </c>
      <c r="D26" s="23"/>
      <c r="E26" s="23"/>
      <c r="F26" s="23"/>
      <c r="G26" s="23"/>
      <c r="H26" s="23"/>
      <c r="I26" s="23"/>
      <c r="J26" s="23"/>
      <c r="K26" s="23"/>
      <c r="L26" s="23"/>
      <c r="M26" s="23"/>
      <c r="N26" s="23"/>
      <c r="O26" s="548"/>
      <c r="P26" s="23"/>
    </row>
    <row r="27" spans="2:16" ht="13.5" hidden="1" customHeight="1" thickBot="1" x14ac:dyDescent="0.25">
      <c r="B27" s="23"/>
      <c r="C27" s="23" t="s">
        <v>48</v>
      </c>
      <c r="D27" s="23"/>
      <c r="E27" s="23"/>
      <c r="F27" s="23"/>
      <c r="G27" s="23"/>
      <c r="H27" s="23"/>
      <c r="I27" s="23"/>
      <c r="J27" s="23"/>
      <c r="K27" s="23"/>
      <c r="L27" s="23"/>
      <c r="M27" s="23"/>
      <c r="N27" s="23"/>
      <c r="O27" s="546"/>
      <c r="P27" s="23"/>
    </row>
    <row r="28" spans="2:16" ht="12.75" hidden="1" customHeight="1" x14ac:dyDescent="0.2">
      <c r="B28" s="23" t="s">
        <v>51</v>
      </c>
      <c r="C28" s="23" t="str">
        <f>IF(SOLO!I$70=0,"",#REF!/SOLO!I$70)</f>
        <v/>
      </c>
      <c r="D28" s="23"/>
      <c r="E28" s="23"/>
      <c r="F28" s="23"/>
      <c r="G28" s="23"/>
      <c r="H28" s="23"/>
      <c r="I28" s="23"/>
      <c r="J28" s="23"/>
      <c r="K28" s="23"/>
      <c r="L28" s="23"/>
      <c r="M28" s="23"/>
      <c r="N28" s="23"/>
      <c r="O28" s="546"/>
      <c r="P28" s="23"/>
    </row>
    <row r="29" spans="2:16" ht="12.75" hidden="1" customHeight="1" x14ac:dyDescent="0.2">
      <c r="B29" s="23" t="s">
        <v>52</v>
      </c>
      <c r="C29" s="23" t="str">
        <f>IF(SOLO!I$70=0,"",#REF!/SOLO!I$70)</f>
        <v/>
      </c>
      <c r="D29" s="23"/>
      <c r="E29" s="23"/>
      <c r="F29" s="23"/>
      <c r="G29" s="23"/>
      <c r="H29" s="23"/>
      <c r="I29" s="23"/>
      <c r="J29" s="23"/>
      <c r="K29" s="23"/>
      <c r="L29" s="23"/>
      <c r="M29" s="23"/>
      <c r="N29" s="23"/>
      <c r="O29" s="546"/>
      <c r="P29" s="23"/>
    </row>
    <row r="30" spans="2:16" ht="12.75" hidden="1" customHeight="1" x14ac:dyDescent="0.2">
      <c r="B30" s="23" t="s">
        <v>53</v>
      </c>
      <c r="C30" s="23" t="str">
        <f>IF(SOLO!I$70=0,"",#REF!/SOLO!I$70)</f>
        <v/>
      </c>
      <c r="D30" s="23"/>
      <c r="E30" s="23"/>
      <c r="F30" s="23"/>
      <c r="G30" s="23"/>
      <c r="H30" s="23"/>
      <c r="I30" s="23"/>
      <c r="J30" s="23"/>
      <c r="K30" s="23"/>
      <c r="L30" s="23"/>
      <c r="M30" s="23"/>
      <c r="N30" s="23"/>
      <c r="O30" s="546"/>
      <c r="P30" s="23"/>
    </row>
    <row r="31" spans="2:16" ht="12.75" hidden="1" customHeight="1" x14ac:dyDescent="0.2">
      <c r="B31" s="23" t="s">
        <v>54</v>
      </c>
      <c r="C31" s="23" t="str">
        <f>IF(SOLO!I$70=0,"",#REF!/SOLO!I$70)</f>
        <v/>
      </c>
      <c r="D31" s="23"/>
      <c r="E31" s="23"/>
      <c r="F31" s="23"/>
      <c r="G31" s="23"/>
      <c r="H31" s="23"/>
      <c r="I31" s="23"/>
      <c r="J31" s="23"/>
      <c r="K31" s="23"/>
      <c r="L31" s="23"/>
      <c r="M31" s="23"/>
      <c r="N31" s="23"/>
      <c r="O31" s="546"/>
      <c r="P31" s="23"/>
    </row>
    <row r="32" spans="2:16" ht="13.5" hidden="1" customHeight="1" thickBot="1" x14ac:dyDescent="0.25">
      <c r="B32" s="23" t="s">
        <v>55</v>
      </c>
      <c r="C32" s="23" t="str">
        <f>IF(SOLO!I$70=0,"",#REF!/SOLO!I$70)</f>
        <v/>
      </c>
      <c r="D32" s="23"/>
      <c r="E32" s="23"/>
      <c r="F32" s="23"/>
      <c r="G32" s="23"/>
      <c r="H32" s="23"/>
      <c r="I32" s="23"/>
      <c r="J32" s="23"/>
      <c r="K32" s="23"/>
      <c r="L32" s="23"/>
      <c r="M32" s="23"/>
      <c r="N32" s="23"/>
      <c r="O32" s="550"/>
      <c r="P32" s="23"/>
    </row>
    <row r="33" spans="2:16" ht="13.5" customHeight="1" thickBot="1" x14ac:dyDescent="0.25">
      <c r="B33" s="23"/>
      <c r="C33" s="23"/>
      <c r="D33" s="23"/>
      <c r="E33" s="23"/>
      <c r="F33" s="23"/>
      <c r="G33" s="23"/>
      <c r="H33" s="23"/>
      <c r="I33" s="23"/>
      <c r="J33" s="23"/>
      <c r="K33" s="23"/>
      <c r="L33" s="23"/>
      <c r="M33" s="23"/>
      <c r="N33" s="23"/>
      <c r="O33" s="25"/>
      <c r="P33" s="23"/>
    </row>
    <row r="34" spans="2:16" ht="6" customHeight="1" thickBot="1" x14ac:dyDescent="0.25">
      <c r="B34" s="2500"/>
      <c r="C34" s="2501"/>
      <c r="D34" s="2501"/>
      <c r="E34" s="2501"/>
      <c r="F34" s="2501"/>
      <c r="G34" s="2501"/>
      <c r="H34" s="2501"/>
      <c r="I34" s="2502"/>
      <c r="J34" s="23"/>
      <c r="K34" s="23"/>
      <c r="L34" s="23"/>
      <c r="M34" s="23"/>
      <c r="N34" s="23"/>
      <c r="O34" s="25"/>
      <c r="P34" s="23"/>
    </row>
    <row r="35" spans="2:16" ht="13.5" customHeight="1" thickBot="1" x14ac:dyDescent="0.25">
      <c r="B35" s="2503"/>
      <c r="C35" s="2495"/>
      <c r="D35" s="2495"/>
      <c r="E35" s="2495"/>
      <c r="F35" s="2496" t="s">
        <v>948</v>
      </c>
      <c r="G35" s="2178" t="str">
        <f>IF(SUM(C8:N12)=0,"0%",O13/(RESULTADOS!D52*12))</f>
        <v>0%</v>
      </c>
      <c r="H35" s="2497" t="s">
        <v>928</v>
      </c>
      <c r="I35" s="2504"/>
      <c r="J35" s="23"/>
      <c r="K35" s="23"/>
      <c r="L35" s="23"/>
      <c r="M35" s="23"/>
      <c r="N35" s="23"/>
      <c r="O35" s="25"/>
      <c r="P35" s="23"/>
    </row>
    <row r="36" spans="2:16" ht="6.75" customHeight="1" thickBot="1" x14ac:dyDescent="0.25">
      <c r="B36" s="2505"/>
      <c r="C36" s="2495"/>
      <c r="D36" s="2495"/>
      <c r="E36" s="2495"/>
      <c r="F36" s="2495"/>
      <c r="G36" s="2498"/>
      <c r="H36" s="2497"/>
      <c r="I36" s="2504"/>
      <c r="J36" s="23"/>
      <c r="K36" s="23"/>
      <c r="L36" s="23"/>
      <c r="M36" s="23"/>
      <c r="N36" s="23"/>
      <c r="O36" s="25"/>
      <c r="P36" s="23"/>
    </row>
    <row r="37" spans="2:16" ht="13.5" thickBot="1" x14ac:dyDescent="0.25">
      <c r="B37" s="2503"/>
      <c r="C37" s="2495"/>
      <c r="D37" s="2495"/>
      <c r="E37" s="2495"/>
      <c r="F37" s="2496" t="s">
        <v>1045</v>
      </c>
      <c r="G37" s="2494" t="e">
        <f>RESULTADOS!H52</f>
        <v>#VALUE!</v>
      </c>
      <c r="H37" s="2499" t="s">
        <v>935</v>
      </c>
      <c r="I37" s="2504"/>
      <c r="J37" s="23"/>
      <c r="K37" s="23"/>
      <c r="L37" s="23"/>
      <c r="M37" s="23"/>
      <c r="N37" s="23"/>
      <c r="O37" s="25"/>
      <c r="P37" s="23"/>
    </row>
    <row r="38" spans="2:16" ht="6.75" customHeight="1" thickBot="1" x14ac:dyDescent="0.25">
      <c r="B38" s="2506"/>
      <c r="C38" s="2507"/>
      <c r="D38" s="2507"/>
      <c r="E38" s="2507"/>
      <c r="F38" s="2508"/>
      <c r="G38" s="2509"/>
      <c r="H38" s="2510"/>
      <c r="I38" s="2511"/>
      <c r="J38" s="23"/>
      <c r="K38" s="23"/>
      <c r="L38" s="23"/>
      <c r="M38" s="23"/>
      <c r="N38" s="23"/>
      <c r="O38" s="25"/>
      <c r="P38" s="23"/>
    </row>
    <row r="39" spans="2:16" ht="13.5" thickBot="1" x14ac:dyDescent="0.25">
      <c r="B39" s="23"/>
      <c r="C39" s="23"/>
      <c r="D39" s="23"/>
      <c r="E39" s="23"/>
      <c r="F39" s="23"/>
      <c r="G39" s="23"/>
      <c r="H39" s="23"/>
      <c r="I39" s="23"/>
      <c r="J39" s="23"/>
      <c r="K39" s="23"/>
      <c r="L39" s="23"/>
      <c r="M39" s="23"/>
      <c r="N39" s="23"/>
      <c r="O39" s="23"/>
      <c r="P39" s="23"/>
    </row>
    <row r="40" spans="2:16" ht="13.5" thickBot="1" x14ac:dyDescent="0.25">
      <c r="B40" s="2999" t="s">
        <v>1046</v>
      </c>
      <c r="C40" s="3000"/>
      <c r="D40" s="3000"/>
      <c r="E40" s="3000"/>
      <c r="F40" s="3000"/>
      <c r="G40" s="3000"/>
      <c r="H40" s="3000"/>
      <c r="I40" s="3000"/>
      <c r="J40" s="3000"/>
      <c r="K40" s="3000"/>
      <c r="L40" s="3000"/>
      <c r="M40" s="3000"/>
      <c r="N40" s="3000"/>
      <c r="O40" s="3001"/>
      <c r="P40" s="23"/>
    </row>
    <row r="41" spans="2:16" x14ac:dyDescent="0.2">
      <c r="B41" s="3002"/>
      <c r="C41" s="3003"/>
      <c r="D41" s="3003"/>
      <c r="E41" s="3003"/>
      <c r="F41" s="3003"/>
      <c r="G41" s="3003"/>
      <c r="H41" s="3003"/>
      <c r="I41" s="3003"/>
      <c r="J41" s="3003"/>
      <c r="K41" s="3003"/>
      <c r="L41" s="3003"/>
      <c r="M41" s="3003"/>
      <c r="N41" s="3003"/>
      <c r="O41" s="3004"/>
      <c r="P41" s="23"/>
    </row>
    <row r="42" spans="2:16" x14ac:dyDescent="0.2">
      <c r="B42" s="2793"/>
      <c r="C42" s="2794"/>
      <c r="D42" s="2794"/>
      <c r="E42" s="2794"/>
      <c r="F42" s="2794"/>
      <c r="G42" s="2794"/>
      <c r="H42" s="2794"/>
      <c r="I42" s="2794"/>
      <c r="J42" s="2794"/>
      <c r="K42" s="2794"/>
      <c r="L42" s="2794"/>
      <c r="M42" s="2794"/>
      <c r="N42" s="2794"/>
      <c r="O42" s="2795"/>
      <c r="P42" s="23"/>
    </row>
    <row r="43" spans="2:16" x14ac:dyDescent="0.2">
      <c r="B43" s="2793"/>
      <c r="C43" s="2794"/>
      <c r="D43" s="2794"/>
      <c r="E43" s="2794"/>
      <c r="F43" s="2794"/>
      <c r="G43" s="2794"/>
      <c r="H43" s="2794"/>
      <c r="I43" s="2794"/>
      <c r="J43" s="2794"/>
      <c r="K43" s="2794"/>
      <c r="L43" s="2794"/>
      <c r="M43" s="2794"/>
      <c r="N43" s="2794"/>
      <c r="O43" s="2795"/>
      <c r="P43" s="23"/>
    </row>
    <row r="44" spans="2:16" x14ac:dyDescent="0.2">
      <c r="B44" s="2793"/>
      <c r="C44" s="2794"/>
      <c r="D44" s="2794"/>
      <c r="E44" s="2794"/>
      <c r="F44" s="2794"/>
      <c r="G44" s="2794"/>
      <c r="H44" s="2794"/>
      <c r="I44" s="2794"/>
      <c r="J44" s="2794"/>
      <c r="K44" s="2794"/>
      <c r="L44" s="2794"/>
      <c r="M44" s="2794"/>
      <c r="N44" s="2794"/>
      <c r="O44" s="2795"/>
      <c r="P44" s="23"/>
    </row>
    <row r="45" spans="2:16" x14ac:dyDescent="0.2">
      <c r="B45" s="2793"/>
      <c r="C45" s="2794"/>
      <c r="D45" s="2794"/>
      <c r="E45" s="2794"/>
      <c r="F45" s="2794"/>
      <c r="G45" s="2794"/>
      <c r="H45" s="2794"/>
      <c r="I45" s="2794"/>
      <c r="J45" s="2794"/>
      <c r="K45" s="2794"/>
      <c r="L45" s="2794"/>
      <c r="M45" s="2794"/>
      <c r="N45" s="2794"/>
      <c r="O45" s="2795"/>
      <c r="P45" s="23"/>
    </row>
    <row r="46" spans="2:16" ht="13.5" thickBot="1" x14ac:dyDescent="0.25">
      <c r="B46" s="2796"/>
      <c r="C46" s="2797"/>
      <c r="D46" s="2797"/>
      <c r="E46" s="2797"/>
      <c r="F46" s="2797"/>
      <c r="G46" s="2797"/>
      <c r="H46" s="2797"/>
      <c r="I46" s="2797"/>
      <c r="J46" s="2797"/>
      <c r="K46" s="2797"/>
      <c r="L46" s="2797"/>
      <c r="M46" s="2797"/>
      <c r="N46" s="2797"/>
      <c r="O46" s="2798"/>
      <c r="P46" s="23"/>
    </row>
    <row r="47" spans="2:16" x14ac:dyDescent="0.2">
      <c r="B47" s="23"/>
      <c r="C47" s="23"/>
      <c r="D47" s="23"/>
      <c r="E47" s="23"/>
      <c r="F47" s="23"/>
      <c r="G47" s="23"/>
      <c r="H47" s="23"/>
      <c r="I47" s="23"/>
      <c r="J47" s="23"/>
      <c r="K47" s="23"/>
      <c r="L47" s="23"/>
      <c r="M47" s="23"/>
      <c r="N47" s="23"/>
      <c r="O47" s="23"/>
      <c r="P47" s="23"/>
    </row>
    <row r="48" spans="2:16" x14ac:dyDescent="0.2">
      <c r="B48" s="23"/>
      <c r="C48" s="23"/>
      <c r="D48" s="23"/>
      <c r="E48" s="23"/>
      <c r="F48" s="23"/>
      <c r="G48" s="23"/>
      <c r="H48" s="23"/>
      <c r="I48" s="23"/>
      <c r="J48" s="23"/>
      <c r="K48" s="23"/>
      <c r="L48" s="23"/>
      <c r="M48" s="23"/>
      <c r="N48" s="23"/>
      <c r="O48" s="23"/>
      <c r="P48" s="23"/>
    </row>
    <row r="49" spans="2:16" x14ac:dyDescent="0.2">
      <c r="B49" s="23"/>
      <c r="C49" s="23"/>
      <c r="D49" s="23"/>
      <c r="E49" s="23"/>
      <c r="F49" s="23"/>
      <c r="G49" s="23"/>
      <c r="H49" s="23"/>
      <c r="I49" s="23"/>
      <c r="J49" s="23"/>
      <c r="K49" s="23"/>
      <c r="L49" s="23"/>
      <c r="M49" s="23"/>
      <c r="N49" s="23"/>
      <c r="O49" s="23"/>
      <c r="P49" s="23"/>
    </row>
    <row r="50" spans="2:16" x14ac:dyDescent="0.2">
      <c r="P50" s="23"/>
    </row>
    <row r="51" spans="2:16" x14ac:dyDescent="0.2">
      <c r="P51" s="23"/>
    </row>
    <row r="52" spans="2:16" x14ac:dyDescent="0.2">
      <c r="P52" s="23"/>
    </row>
    <row r="53" spans="2:16" x14ac:dyDescent="0.2">
      <c r="P53" s="23"/>
    </row>
    <row r="54" spans="2:16" x14ac:dyDescent="0.2">
      <c r="D54" s="2709"/>
      <c r="P54" s="23"/>
    </row>
    <row r="55" spans="2:16" x14ac:dyDescent="0.2">
      <c r="P55" s="23"/>
    </row>
    <row r="56" spans="2:16" x14ac:dyDescent="0.2">
      <c r="P56" s="23"/>
    </row>
    <row r="57" spans="2:16" x14ac:dyDescent="0.2">
      <c r="P57" s="23"/>
    </row>
    <row r="58" spans="2:16" x14ac:dyDescent="0.2">
      <c r="P58" s="23"/>
    </row>
    <row r="59" spans="2:16" x14ac:dyDescent="0.2">
      <c r="P59" s="23"/>
    </row>
    <row r="60" spans="2:16" x14ac:dyDescent="0.2">
      <c r="P60" s="23"/>
    </row>
    <row r="61" spans="2:16" x14ac:dyDescent="0.2">
      <c r="P61" s="23"/>
    </row>
    <row r="62" spans="2:16" x14ac:dyDescent="0.2">
      <c r="P62" s="23"/>
    </row>
    <row r="63" spans="2:16" x14ac:dyDescent="0.2">
      <c r="P63" s="23"/>
    </row>
    <row r="64" spans="2:16" x14ac:dyDescent="0.2">
      <c r="P64" s="23"/>
    </row>
    <row r="65" spans="16:16" x14ac:dyDescent="0.2">
      <c r="P65" s="23"/>
    </row>
    <row r="66" spans="16:16" x14ac:dyDescent="0.2">
      <c r="P66" s="23"/>
    </row>
    <row r="67" spans="16:16" x14ac:dyDescent="0.2">
      <c r="P67" s="23"/>
    </row>
    <row r="68" spans="16:16" x14ac:dyDescent="0.2">
      <c r="P68" s="23"/>
    </row>
    <row r="69" spans="16:16" x14ac:dyDescent="0.2">
      <c r="P69" s="23"/>
    </row>
    <row r="70" spans="16:16" x14ac:dyDescent="0.2">
      <c r="P70" s="23"/>
    </row>
    <row r="71" spans="16:16" x14ac:dyDescent="0.2">
      <c r="P71" s="23"/>
    </row>
    <row r="72" spans="16:16" x14ac:dyDescent="0.2">
      <c r="P72" s="23"/>
    </row>
    <row r="73" spans="16:16" x14ac:dyDescent="0.2">
      <c r="P73" s="23"/>
    </row>
    <row r="74" spans="16:16" x14ac:dyDescent="0.2">
      <c r="P74" s="23"/>
    </row>
    <row r="75" spans="16:16" x14ac:dyDescent="0.2">
      <c r="P75" s="23"/>
    </row>
    <row r="76" spans="16:16" x14ac:dyDescent="0.2">
      <c r="P76" s="23"/>
    </row>
    <row r="77" spans="16:16" x14ac:dyDescent="0.2">
      <c r="P77" s="23"/>
    </row>
    <row r="78" spans="16:16" x14ac:dyDescent="0.2">
      <c r="P78" s="23"/>
    </row>
    <row r="79" spans="16:16" x14ac:dyDescent="0.2">
      <c r="P79" s="23"/>
    </row>
    <row r="80" spans="16:16" x14ac:dyDescent="0.2">
      <c r="P80" s="23"/>
    </row>
    <row r="81" spans="16:16" x14ac:dyDescent="0.2">
      <c r="P81" s="23"/>
    </row>
    <row r="82" spans="16:16" x14ac:dyDescent="0.2">
      <c r="P82" s="23"/>
    </row>
    <row r="83" spans="16:16" x14ac:dyDescent="0.2">
      <c r="P83" s="23"/>
    </row>
    <row r="84" spans="16:16" x14ac:dyDescent="0.2">
      <c r="P84" s="23"/>
    </row>
    <row r="85" spans="16:16" x14ac:dyDescent="0.2">
      <c r="P85" s="23"/>
    </row>
    <row r="86" spans="16:16" x14ac:dyDescent="0.2">
      <c r="P86" s="23"/>
    </row>
    <row r="87" spans="16:16" x14ac:dyDescent="0.2">
      <c r="P87" s="23"/>
    </row>
    <row r="88" spans="16:16" x14ac:dyDescent="0.2">
      <c r="P88" s="23"/>
    </row>
    <row r="89" spans="16:16" x14ac:dyDescent="0.2">
      <c r="P89" s="23"/>
    </row>
    <row r="90" spans="16:16" x14ac:dyDescent="0.2">
      <c r="P90" s="23"/>
    </row>
    <row r="91" spans="16:16" x14ac:dyDescent="0.2">
      <c r="P91" s="23"/>
    </row>
    <row r="92" spans="16:16" x14ac:dyDescent="0.2">
      <c r="P92" s="23"/>
    </row>
    <row r="93" spans="16:16" x14ac:dyDescent="0.2">
      <c r="P93" s="23"/>
    </row>
    <row r="94" spans="16:16" x14ac:dyDescent="0.2">
      <c r="P94" s="23"/>
    </row>
    <row r="95" spans="16:16" x14ac:dyDescent="0.2">
      <c r="P95" s="23"/>
    </row>
    <row r="96" spans="16:16" x14ac:dyDescent="0.2">
      <c r="P96" s="23"/>
    </row>
    <row r="97" spans="16:16" x14ac:dyDescent="0.2">
      <c r="P97" s="23"/>
    </row>
    <row r="98" spans="16:16" x14ac:dyDescent="0.2">
      <c r="P98" s="23"/>
    </row>
    <row r="99" spans="16:16" x14ac:dyDescent="0.2">
      <c r="P99" s="23"/>
    </row>
    <row r="100" spans="16:16" x14ac:dyDescent="0.2">
      <c r="P100" s="23"/>
    </row>
    <row r="101" spans="16:16" x14ac:dyDescent="0.2">
      <c r="P101" s="23"/>
    </row>
    <row r="102" spans="16:16" x14ac:dyDescent="0.2">
      <c r="P102" s="23"/>
    </row>
    <row r="103" spans="16:16" x14ac:dyDescent="0.2">
      <c r="P103" s="23"/>
    </row>
    <row r="104" spans="16:16" x14ac:dyDescent="0.2">
      <c r="P104" s="23"/>
    </row>
    <row r="105" spans="16:16" x14ac:dyDescent="0.2">
      <c r="P105" s="23"/>
    </row>
    <row r="106" spans="16:16" x14ac:dyDescent="0.2">
      <c r="P106" s="23"/>
    </row>
    <row r="107" spans="16:16" x14ac:dyDescent="0.2">
      <c r="P107" s="23"/>
    </row>
    <row r="108" spans="16:16" x14ac:dyDescent="0.2">
      <c r="P108" s="23"/>
    </row>
    <row r="109" spans="16:16" x14ac:dyDescent="0.2">
      <c r="P109" s="23"/>
    </row>
    <row r="110" spans="16:16" x14ac:dyDescent="0.2">
      <c r="P110" s="23"/>
    </row>
    <row r="111" spans="16:16" x14ac:dyDescent="0.2">
      <c r="P111" s="23"/>
    </row>
    <row r="112" spans="16:16" x14ac:dyDescent="0.2">
      <c r="P112" s="23"/>
    </row>
    <row r="113" spans="16:16" x14ac:dyDescent="0.2">
      <c r="P113" s="23"/>
    </row>
    <row r="114" spans="16:16" x14ac:dyDescent="0.2">
      <c r="P114" s="23"/>
    </row>
    <row r="115" spans="16:16" x14ac:dyDescent="0.2">
      <c r="P115" s="23"/>
    </row>
    <row r="116" spans="16:16" x14ac:dyDescent="0.2">
      <c r="P116" s="23"/>
    </row>
    <row r="117" spans="16:16" x14ac:dyDescent="0.2">
      <c r="P117" s="23"/>
    </row>
    <row r="118" spans="16:16" x14ac:dyDescent="0.2">
      <c r="P118" s="23"/>
    </row>
    <row r="119" spans="16:16" x14ac:dyDescent="0.2">
      <c r="P119" s="23"/>
    </row>
    <row r="120" spans="16:16" x14ac:dyDescent="0.2">
      <c r="P120" s="23"/>
    </row>
    <row r="121" spans="16:16" x14ac:dyDescent="0.2">
      <c r="P121" s="23"/>
    </row>
    <row r="122" spans="16:16" x14ac:dyDescent="0.2">
      <c r="P122" s="23"/>
    </row>
    <row r="123" spans="16:16" x14ac:dyDescent="0.2">
      <c r="P123" s="23"/>
    </row>
    <row r="124" spans="16:16" x14ac:dyDescent="0.2">
      <c r="P124" s="23"/>
    </row>
    <row r="125" spans="16:16" x14ac:dyDescent="0.2">
      <c r="P125" s="23"/>
    </row>
    <row r="126" spans="16:16" x14ac:dyDescent="0.2">
      <c r="P126" s="23"/>
    </row>
    <row r="127" spans="16:16" x14ac:dyDescent="0.2">
      <c r="P127" s="23"/>
    </row>
    <row r="128" spans="16:16" x14ac:dyDescent="0.2">
      <c r="P128" s="23"/>
    </row>
    <row r="129" spans="16:16" x14ac:dyDescent="0.2">
      <c r="P129" s="23"/>
    </row>
    <row r="130" spans="16:16" x14ac:dyDescent="0.2">
      <c r="P130" s="23"/>
    </row>
    <row r="131" spans="16:16" x14ac:dyDescent="0.2">
      <c r="P131" s="23"/>
    </row>
    <row r="132" spans="16:16" x14ac:dyDescent="0.2">
      <c r="P132" s="23"/>
    </row>
    <row r="133" spans="16:16" x14ac:dyDescent="0.2">
      <c r="P133" s="23"/>
    </row>
    <row r="134" spans="16:16" x14ac:dyDescent="0.2">
      <c r="P134" s="23"/>
    </row>
    <row r="135" spans="16:16" x14ac:dyDescent="0.2">
      <c r="P135" s="23"/>
    </row>
    <row r="136" spans="16:16" x14ac:dyDescent="0.2">
      <c r="P136" s="23"/>
    </row>
    <row r="137" spans="16:16" x14ac:dyDescent="0.2">
      <c r="P137" s="23"/>
    </row>
    <row r="138" spans="16:16" x14ac:dyDescent="0.2">
      <c r="P138" s="23"/>
    </row>
    <row r="139" spans="16:16" x14ac:dyDescent="0.2">
      <c r="P139" s="23"/>
    </row>
    <row r="140" spans="16:16" x14ac:dyDescent="0.2">
      <c r="P140" s="23"/>
    </row>
    <row r="141" spans="16:16" x14ac:dyDescent="0.2">
      <c r="P141" s="23"/>
    </row>
    <row r="142" spans="16:16" x14ac:dyDescent="0.2">
      <c r="P142" s="23"/>
    </row>
    <row r="143" spans="16:16" x14ac:dyDescent="0.2">
      <c r="P143" s="23"/>
    </row>
    <row r="144" spans="16:16" x14ac:dyDescent="0.2">
      <c r="P144" s="23"/>
    </row>
    <row r="145" spans="16:16" x14ac:dyDescent="0.2">
      <c r="P145" s="23"/>
    </row>
    <row r="146" spans="16:16" x14ac:dyDescent="0.2">
      <c r="P146" s="23"/>
    </row>
    <row r="147" spans="16:16" x14ac:dyDescent="0.2">
      <c r="P147" s="23"/>
    </row>
    <row r="148" spans="16:16" x14ac:dyDescent="0.2">
      <c r="P148" s="23"/>
    </row>
    <row r="149" spans="16:16" x14ac:dyDescent="0.2">
      <c r="P149" s="23"/>
    </row>
    <row r="150" spans="16:16" x14ac:dyDescent="0.2">
      <c r="P150" s="23"/>
    </row>
    <row r="151" spans="16:16" x14ac:dyDescent="0.2">
      <c r="P151" s="23"/>
    </row>
    <row r="152" spans="16:16" x14ac:dyDescent="0.2">
      <c r="P152" s="23"/>
    </row>
    <row r="153" spans="16:16" x14ac:dyDescent="0.2">
      <c r="P153" s="23"/>
    </row>
    <row r="154" spans="16:16" x14ac:dyDescent="0.2">
      <c r="P154" s="23"/>
    </row>
    <row r="155" spans="16:16" x14ac:dyDescent="0.2">
      <c r="P155" s="23"/>
    </row>
    <row r="156" spans="16:16" x14ac:dyDescent="0.2">
      <c r="P156" s="23"/>
    </row>
    <row r="157" spans="16:16" x14ac:dyDescent="0.2">
      <c r="P157" s="23"/>
    </row>
    <row r="158" spans="16:16" x14ac:dyDescent="0.2">
      <c r="P158" s="23"/>
    </row>
    <row r="159" spans="16:16" x14ac:dyDescent="0.2">
      <c r="P159" s="23"/>
    </row>
    <row r="160" spans="16:16" x14ac:dyDescent="0.2">
      <c r="P160" s="23"/>
    </row>
    <row r="161" spans="16:16" x14ac:dyDescent="0.2">
      <c r="P161" s="23"/>
    </row>
    <row r="162" spans="16:16" x14ac:dyDescent="0.2">
      <c r="P162" s="23"/>
    </row>
    <row r="163" spans="16:16" x14ac:dyDescent="0.2">
      <c r="P163" s="23"/>
    </row>
    <row r="164" spans="16:16" x14ac:dyDescent="0.2">
      <c r="P164" s="23"/>
    </row>
    <row r="165" spans="16:16" x14ac:dyDescent="0.2">
      <c r="P165" s="23"/>
    </row>
    <row r="166" spans="16:16" x14ac:dyDescent="0.2">
      <c r="P166" s="23"/>
    </row>
    <row r="167" spans="16:16" x14ac:dyDescent="0.2">
      <c r="P167" s="23"/>
    </row>
    <row r="168" spans="16:16" x14ac:dyDescent="0.2">
      <c r="P168" s="23"/>
    </row>
    <row r="169" spans="16:16" x14ac:dyDescent="0.2">
      <c r="P169" s="23"/>
    </row>
    <row r="170" spans="16:16" x14ac:dyDescent="0.2">
      <c r="P170" s="23"/>
    </row>
    <row r="171" spans="16:16" x14ac:dyDescent="0.2">
      <c r="P171" s="23"/>
    </row>
    <row r="172" spans="16:16" x14ac:dyDescent="0.2">
      <c r="P172" s="23"/>
    </row>
    <row r="173" spans="16:16" x14ac:dyDescent="0.2">
      <c r="P173" s="23"/>
    </row>
    <row r="174" spans="16:16" x14ac:dyDescent="0.2">
      <c r="P174" s="23"/>
    </row>
    <row r="175" spans="16:16" x14ac:dyDescent="0.2">
      <c r="P175" s="23"/>
    </row>
    <row r="176" spans="16:16" x14ac:dyDescent="0.2">
      <c r="P176" s="23"/>
    </row>
    <row r="177" spans="16:16" x14ac:dyDescent="0.2">
      <c r="P177" s="23"/>
    </row>
    <row r="178" spans="16:16" x14ac:dyDescent="0.2">
      <c r="P178" s="23"/>
    </row>
    <row r="179" spans="16:16" x14ac:dyDescent="0.2">
      <c r="P179" s="23"/>
    </row>
    <row r="180" spans="16:16" x14ac:dyDescent="0.2">
      <c r="P180" s="23"/>
    </row>
    <row r="181" spans="16:16" x14ac:dyDescent="0.2">
      <c r="P181" s="23"/>
    </row>
    <row r="182" spans="16:16" x14ac:dyDescent="0.2">
      <c r="P182" s="23"/>
    </row>
    <row r="183" spans="16:16" x14ac:dyDescent="0.2">
      <c r="P183" s="23"/>
    </row>
    <row r="184" spans="16:16" x14ac:dyDescent="0.2">
      <c r="P184" s="23"/>
    </row>
    <row r="185" spans="16:16" x14ac:dyDescent="0.2">
      <c r="P185" s="23"/>
    </row>
    <row r="186" spans="16:16" x14ac:dyDescent="0.2">
      <c r="P186" s="23"/>
    </row>
    <row r="187" spans="16:16" x14ac:dyDescent="0.2">
      <c r="P187" s="23"/>
    </row>
    <row r="188" spans="16:16" x14ac:dyDescent="0.2">
      <c r="P188" s="23"/>
    </row>
    <row r="189" spans="16:16" x14ac:dyDescent="0.2">
      <c r="P189" s="23"/>
    </row>
    <row r="190" spans="16:16" x14ac:dyDescent="0.2">
      <c r="P190" s="23"/>
    </row>
    <row r="191" spans="16:16" x14ac:dyDescent="0.2">
      <c r="P191" s="23"/>
    </row>
    <row r="192" spans="16:16" x14ac:dyDescent="0.2">
      <c r="P192" s="23"/>
    </row>
    <row r="193" spans="16:16" x14ac:dyDescent="0.2">
      <c r="P193" s="23"/>
    </row>
    <row r="194" spans="16:16" x14ac:dyDescent="0.2">
      <c r="P194" s="23"/>
    </row>
    <row r="195" spans="16:16" x14ac:dyDescent="0.2">
      <c r="P195" s="23"/>
    </row>
    <row r="196" spans="16:16" x14ac:dyDescent="0.2">
      <c r="P196" s="23"/>
    </row>
    <row r="197" spans="16:16" x14ac:dyDescent="0.2">
      <c r="P197" s="23"/>
    </row>
    <row r="198" spans="16:16" x14ac:dyDescent="0.2">
      <c r="P198" s="23"/>
    </row>
    <row r="199" spans="16:16" x14ac:dyDescent="0.2">
      <c r="P199" s="23"/>
    </row>
    <row r="200" spans="16:16" x14ac:dyDescent="0.2">
      <c r="P200" s="23"/>
    </row>
    <row r="201" spans="16:16" x14ac:dyDescent="0.2">
      <c r="P201" s="23"/>
    </row>
    <row r="202" spans="16:16" x14ac:dyDescent="0.2">
      <c r="P202" s="23"/>
    </row>
    <row r="203" spans="16:16" x14ac:dyDescent="0.2">
      <c r="P203" s="23"/>
    </row>
    <row r="204" spans="16:16" x14ac:dyDescent="0.2">
      <c r="P204" s="23"/>
    </row>
    <row r="205" spans="16:16" x14ac:dyDescent="0.2">
      <c r="P205" s="23"/>
    </row>
    <row r="206" spans="16:16" x14ac:dyDescent="0.2">
      <c r="P206" s="23"/>
    </row>
    <row r="207" spans="16:16" x14ac:dyDescent="0.2">
      <c r="P207" s="23"/>
    </row>
    <row r="208" spans="16:16" x14ac:dyDescent="0.2">
      <c r="P208" s="23"/>
    </row>
    <row r="209" spans="16:16" x14ac:dyDescent="0.2">
      <c r="P209" s="23"/>
    </row>
    <row r="210" spans="16:16" x14ac:dyDescent="0.2">
      <c r="P210" s="23"/>
    </row>
    <row r="211" spans="16:16" x14ac:dyDescent="0.2">
      <c r="P211" s="23"/>
    </row>
    <row r="212" spans="16:16" x14ac:dyDescent="0.2">
      <c r="P212" s="23"/>
    </row>
    <row r="213" spans="16:16" x14ac:dyDescent="0.2">
      <c r="P213" s="23"/>
    </row>
    <row r="214" spans="16:16" x14ac:dyDescent="0.2">
      <c r="P214" s="23"/>
    </row>
    <row r="215" spans="16:16" x14ac:dyDescent="0.2">
      <c r="P215" s="23"/>
    </row>
    <row r="216" spans="16:16" x14ac:dyDescent="0.2">
      <c r="P216" s="23"/>
    </row>
    <row r="217" spans="16:16" x14ac:dyDescent="0.2">
      <c r="P217" s="23"/>
    </row>
    <row r="218" spans="16:16" x14ac:dyDescent="0.2">
      <c r="P218" s="23"/>
    </row>
    <row r="219" spans="16:16" x14ac:dyDescent="0.2">
      <c r="P219" s="23"/>
    </row>
    <row r="220" spans="16:16" x14ac:dyDescent="0.2">
      <c r="P220" s="23"/>
    </row>
    <row r="221" spans="16:16" x14ac:dyDescent="0.2">
      <c r="P221" s="23"/>
    </row>
    <row r="222" spans="16:16" x14ac:dyDescent="0.2">
      <c r="P222" s="23"/>
    </row>
    <row r="223" spans="16:16" x14ac:dyDescent="0.2">
      <c r="P223" s="23"/>
    </row>
    <row r="224" spans="16:16" x14ac:dyDescent="0.2">
      <c r="P224" s="23"/>
    </row>
    <row r="225" spans="16:16" x14ac:dyDescent="0.2">
      <c r="P225" s="23"/>
    </row>
    <row r="226" spans="16:16" x14ac:dyDescent="0.2">
      <c r="P226" s="23"/>
    </row>
    <row r="227" spans="16:16" x14ac:dyDescent="0.2">
      <c r="P227" s="23"/>
    </row>
    <row r="228" spans="16:16" x14ac:dyDescent="0.2">
      <c r="P228" s="23"/>
    </row>
    <row r="229" spans="16:16" x14ac:dyDescent="0.2">
      <c r="P229" s="23"/>
    </row>
    <row r="230" spans="16:16" x14ac:dyDescent="0.2">
      <c r="P230" s="23"/>
    </row>
    <row r="231" spans="16:16" x14ac:dyDescent="0.2">
      <c r="P231" s="23"/>
    </row>
    <row r="232" spans="16:16" x14ac:dyDescent="0.2">
      <c r="P232" s="23"/>
    </row>
    <row r="233" spans="16:16" x14ac:dyDescent="0.2">
      <c r="P233" s="23"/>
    </row>
    <row r="234" spans="16:16" x14ac:dyDescent="0.2">
      <c r="P234" s="23"/>
    </row>
    <row r="235" spans="16:16" x14ac:dyDescent="0.2">
      <c r="P235" s="23"/>
    </row>
    <row r="236" spans="16:16" x14ac:dyDescent="0.2">
      <c r="P236" s="23"/>
    </row>
    <row r="237" spans="16:16" x14ac:dyDescent="0.2">
      <c r="P237" s="23"/>
    </row>
    <row r="238" spans="16:16" x14ac:dyDescent="0.2">
      <c r="P238" s="23"/>
    </row>
    <row r="239" spans="16:16" x14ac:dyDescent="0.2">
      <c r="P239" s="23"/>
    </row>
    <row r="240" spans="16:16" x14ac:dyDescent="0.2">
      <c r="P240" s="23"/>
    </row>
    <row r="241" spans="16:16" x14ac:dyDescent="0.2">
      <c r="P241" s="23"/>
    </row>
    <row r="242" spans="16:16" x14ac:dyDescent="0.2">
      <c r="P242" s="23"/>
    </row>
    <row r="243" spans="16:16" x14ac:dyDescent="0.2">
      <c r="P243" s="23"/>
    </row>
    <row r="244" spans="16:16" x14ac:dyDescent="0.2">
      <c r="P244" s="23"/>
    </row>
    <row r="245" spans="16:16" x14ac:dyDescent="0.2">
      <c r="P245" s="23"/>
    </row>
    <row r="246" spans="16:16" x14ac:dyDescent="0.2">
      <c r="P246" s="23"/>
    </row>
    <row r="247" spans="16:16" x14ac:dyDescent="0.2">
      <c r="P247" s="23"/>
    </row>
    <row r="248" spans="16:16" x14ac:dyDescent="0.2">
      <c r="P248" s="23"/>
    </row>
    <row r="249" spans="16:16" x14ac:dyDescent="0.2">
      <c r="P249" s="23"/>
    </row>
    <row r="250" spans="16:16" x14ac:dyDescent="0.2">
      <c r="P250" s="23"/>
    </row>
    <row r="251" spans="16:16" x14ac:dyDescent="0.2">
      <c r="P251" s="23"/>
    </row>
    <row r="252" spans="16:16" x14ac:dyDescent="0.2">
      <c r="P252" s="23"/>
    </row>
    <row r="253" spans="16:16" x14ac:dyDescent="0.2">
      <c r="P253" s="23"/>
    </row>
    <row r="254" spans="16:16" x14ac:dyDescent="0.2">
      <c r="P254" s="23"/>
    </row>
    <row r="255" spans="16:16" x14ac:dyDescent="0.2">
      <c r="P255" s="23"/>
    </row>
    <row r="256" spans="16:16" x14ac:dyDescent="0.2">
      <c r="P256" s="23"/>
    </row>
    <row r="257" spans="16:16" x14ac:dyDescent="0.2">
      <c r="P257" s="23"/>
    </row>
    <row r="258" spans="16:16" x14ac:dyDescent="0.2">
      <c r="P258" s="23"/>
    </row>
    <row r="259" spans="16:16" x14ac:dyDescent="0.2">
      <c r="P259" s="23"/>
    </row>
    <row r="260" spans="16:16" x14ac:dyDescent="0.2">
      <c r="P260" s="23"/>
    </row>
    <row r="261" spans="16:16" x14ac:dyDescent="0.2">
      <c r="P261" s="23"/>
    </row>
    <row r="262" spans="16:16" x14ac:dyDescent="0.2">
      <c r="P262" s="23"/>
    </row>
    <row r="263" spans="16:16" x14ac:dyDescent="0.2">
      <c r="P263" s="23"/>
    </row>
    <row r="264" spans="16:16" x14ac:dyDescent="0.2">
      <c r="P264" s="23"/>
    </row>
    <row r="265" spans="16:16" x14ac:dyDescent="0.2">
      <c r="P265" s="23"/>
    </row>
    <row r="266" spans="16:16" x14ac:dyDescent="0.2">
      <c r="P266" s="23"/>
    </row>
    <row r="267" spans="16:16" x14ac:dyDescent="0.2">
      <c r="P267" s="23"/>
    </row>
    <row r="268" spans="16:16" x14ac:dyDescent="0.2">
      <c r="P268" s="23"/>
    </row>
    <row r="269" spans="16:16" x14ac:dyDescent="0.2">
      <c r="P269" s="23"/>
    </row>
    <row r="270" spans="16:16" x14ac:dyDescent="0.2">
      <c r="P270" s="23"/>
    </row>
    <row r="271" spans="16:16" x14ac:dyDescent="0.2">
      <c r="P271" s="23"/>
    </row>
    <row r="272" spans="16:16" x14ac:dyDescent="0.2">
      <c r="P272" s="23"/>
    </row>
    <row r="273" spans="16:16" x14ac:dyDescent="0.2">
      <c r="P273" s="23"/>
    </row>
    <row r="274" spans="16:16" x14ac:dyDescent="0.2">
      <c r="P274" s="23"/>
    </row>
    <row r="275" spans="16:16" x14ac:dyDescent="0.2">
      <c r="P275" s="23"/>
    </row>
    <row r="276" spans="16:16" x14ac:dyDescent="0.2">
      <c r="P276" s="23"/>
    </row>
    <row r="277" spans="16:16" x14ac:dyDescent="0.2">
      <c r="P277" s="23"/>
    </row>
    <row r="278" spans="16:16" x14ac:dyDescent="0.2">
      <c r="P278" s="23"/>
    </row>
    <row r="279" spans="16:16" x14ac:dyDescent="0.2">
      <c r="P279" s="23"/>
    </row>
    <row r="280" spans="16:16" x14ac:dyDescent="0.2">
      <c r="P280" s="23"/>
    </row>
    <row r="281" spans="16:16" x14ac:dyDescent="0.2">
      <c r="P281" s="23"/>
    </row>
    <row r="282" spans="16:16" x14ac:dyDescent="0.2">
      <c r="P282" s="23"/>
    </row>
    <row r="283" spans="16:16" x14ac:dyDescent="0.2">
      <c r="P283" s="23"/>
    </row>
    <row r="284" spans="16:16" x14ac:dyDescent="0.2">
      <c r="P284" s="23"/>
    </row>
    <row r="285" spans="16:16" x14ac:dyDescent="0.2">
      <c r="P285" s="23"/>
    </row>
    <row r="286" spans="16:16" x14ac:dyDescent="0.2">
      <c r="P286" s="23"/>
    </row>
    <row r="287" spans="16:16" x14ac:dyDescent="0.2">
      <c r="P287" s="23"/>
    </row>
    <row r="288" spans="16:16" x14ac:dyDescent="0.2">
      <c r="P288" s="23"/>
    </row>
    <row r="289" spans="16:16" x14ac:dyDescent="0.2">
      <c r="P289" s="23"/>
    </row>
    <row r="290" spans="16:16" x14ac:dyDescent="0.2">
      <c r="P290" s="23"/>
    </row>
    <row r="291" spans="16:16" x14ac:dyDescent="0.2">
      <c r="P291" s="23"/>
    </row>
    <row r="292" spans="16:16" x14ac:dyDescent="0.2">
      <c r="P292" s="23"/>
    </row>
    <row r="293" spans="16:16" x14ac:dyDescent="0.2">
      <c r="P293" s="23"/>
    </row>
    <row r="294" spans="16:16" x14ac:dyDescent="0.2">
      <c r="P294" s="23"/>
    </row>
    <row r="295" spans="16:16" x14ac:dyDescent="0.2">
      <c r="P295" s="23"/>
    </row>
    <row r="296" spans="16:16" x14ac:dyDescent="0.2">
      <c r="P296" s="23"/>
    </row>
    <row r="297" spans="16:16" x14ac:dyDescent="0.2">
      <c r="P297" s="23"/>
    </row>
    <row r="298" spans="16:16" x14ac:dyDescent="0.2">
      <c r="P298" s="23"/>
    </row>
    <row r="299" spans="16:16" x14ac:dyDescent="0.2">
      <c r="P299" s="23"/>
    </row>
    <row r="300" spans="16:16" x14ac:dyDescent="0.2">
      <c r="P300" s="23"/>
    </row>
    <row r="301" spans="16:16" x14ac:dyDescent="0.2">
      <c r="P301" s="23"/>
    </row>
    <row r="302" spans="16:16" x14ac:dyDescent="0.2">
      <c r="P302" s="23"/>
    </row>
    <row r="303" spans="16:16" x14ac:dyDescent="0.2">
      <c r="P303" s="23"/>
    </row>
    <row r="304" spans="16:16" x14ac:dyDescent="0.2">
      <c r="P304" s="23"/>
    </row>
    <row r="305" spans="16:16" x14ac:dyDescent="0.2">
      <c r="P305" s="23"/>
    </row>
    <row r="306" spans="16:16" x14ac:dyDescent="0.2">
      <c r="P306" s="23"/>
    </row>
    <row r="307" spans="16:16" x14ac:dyDescent="0.2">
      <c r="P307" s="23"/>
    </row>
    <row r="308" spans="16:16" x14ac:dyDescent="0.2">
      <c r="P308" s="23"/>
    </row>
    <row r="309" spans="16:16" x14ac:dyDescent="0.2">
      <c r="P309" s="23"/>
    </row>
    <row r="310" spans="16:16" x14ac:dyDescent="0.2">
      <c r="P310" s="23"/>
    </row>
    <row r="311" spans="16:16" x14ac:dyDescent="0.2">
      <c r="P311" s="23"/>
    </row>
    <row r="312" spans="16:16" x14ac:dyDescent="0.2">
      <c r="P312" s="23"/>
    </row>
    <row r="313" spans="16:16" x14ac:dyDescent="0.2">
      <c r="P313" s="23"/>
    </row>
    <row r="314" spans="16:16" x14ac:dyDescent="0.2">
      <c r="P314" s="23"/>
    </row>
    <row r="315" spans="16:16" x14ac:dyDescent="0.2">
      <c r="P315" s="23"/>
    </row>
    <row r="316" spans="16:16" x14ac:dyDescent="0.2">
      <c r="P316" s="23"/>
    </row>
    <row r="317" spans="16:16" x14ac:dyDescent="0.2">
      <c r="P317" s="23"/>
    </row>
    <row r="318" spans="16:16" x14ac:dyDescent="0.2">
      <c r="P318" s="23"/>
    </row>
    <row r="319" spans="16:16" x14ac:dyDescent="0.2">
      <c r="P319" s="23"/>
    </row>
    <row r="320" spans="16:16" x14ac:dyDescent="0.2">
      <c r="P320" s="23"/>
    </row>
    <row r="321" spans="16:16" x14ac:dyDescent="0.2">
      <c r="P321" s="23"/>
    </row>
    <row r="322" spans="16:16" x14ac:dyDescent="0.2">
      <c r="P322" s="23"/>
    </row>
    <row r="323" spans="16:16" x14ac:dyDescent="0.2">
      <c r="P323" s="23"/>
    </row>
    <row r="324" spans="16:16" x14ac:dyDescent="0.2">
      <c r="P324" s="23"/>
    </row>
    <row r="325" spans="16:16" x14ac:dyDescent="0.2">
      <c r="P325" s="23"/>
    </row>
    <row r="326" spans="16:16" x14ac:dyDescent="0.2">
      <c r="P326" s="23"/>
    </row>
    <row r="327" spans="16:16" x14ac:dyDescent="0.2">
      <c r="P327" s="23"/>
    </row>
    <row r="328" spans="16:16" x14ac:dyDescent="0.2">
      <c r="P328" s="23"/>
    </row>
    <row r="329" spans="16:16" x14ac:dyDescent="0.2">
      <c r="P329" s="23"/>
    </row>
    <row r="330" spans="16:16" x14ac:dyDescent="0.2">
      <c r="P330" s="23"/>
    </row>
    <row r="331" spans="16:16" x14ac:dyDescent="0.2">
      <c r="P331" s="23"/>
    </row>
    <row r="332" spans="16:16" x14ac:dyDescent="0.2">
      <c r="P332" s="23"/>
    </row>
    <row r="333" spans="16:16" x14ac:dyDescent="0.2">
      <c r="P333" s="23"/>
    </row>
    <row r="334" spans="16:16" x14ac:dyDescent="0.2">
      <c r="P334" s="23"/>
    </row>
    <row r="335" spans="16:16" x14ac:dyDescent="0.2">
      <c r="P335" s="23"/>
    </row>
    <row r="336" spans="16:16" x14ac:dyDescent="0.2">
      <c r="P336" s="23"/>
    </row>
    <row r="337" spans="16:16" x14ac:dyDescent="0.2">
      <c r="P337" s="23"/>
    </row>
    <row r="338" spans="16:16" x14ac:dyDescent="0.2">
      <c r="P338" s="23"/>
    </row>
    <row r="339" spans="16:16" x14ac:dyDescent="0.2">
      <c r="P339" s="23"/>
    </row>
    <row r="340" spans="16:16" x14ac:dyDescent="0.2">
      <c r="P340" s="23"/>
    </row>
    <row r="341" spans="16:16" x14ac:dyDescent="0.2">
      <c r="P341" s="23"/>
    </row>
    <row r="342" spans="16:16" x14ac:dyDescent="0.2">
      <c r="P342" s="23"/>
    </row>
    <row r="343" spans="16:16" x14ac:dyDescent="0.2">
      <c r="P343" s="23"/>
    </row>
    <row r="344" spans="16:16" x14ac:dyDescent="0.2">
      <c r="P344" s="23"/>
    </row>
    <row r="345" spans="16:16" x14ac:dyDescent="0.2">
      <c r="P345" s="23"/>
    </row>
    <row r="346" spans="16:16" x14ac:dyDescent="0.2">
      <c r="P346" s="23"/>
    </row>
    <row r="347" spans="16:16" x14ac:dyDescent="0.2">
      <c r="P347" s="23"/>
    </row>
    <row r="348" spans="16:16" x14ac:dyDescent="0.2">
      <c r="P348" s="23"/>
    </row>
    <row r="349" spans="16:16" x14ac:dyDescent="0.2">
      <c r="P349" s="23"/>
    </row>
    <row r="350" spans="16:16" x14ac:dyDescent="0.2">
      <c r="P350" s="23"/>
    </row>
    <row r="351" spans="16:16" x14ac:dyDescent="0.2">
      <c r="P351" s="23"/>
    </row>
    <row r="352" spans="16:16" x14ac:dyDescent="0.2">
      <c r="P352" s="23"/>
    </row>
    <row r="353" spans="16:16" x14ac:dyDescent="0.2">
      <c r="P353" s="23"/>
    </row>
    <row r="354" spans="16:16" x14ac:dyDescent="0.2">
      <c r="P354" s="23"/>
    </row>
    <row r="355" spans="16:16" x14ac:dyDescent="0.2">
      <c r="P355" s="23"/>
    </row>
    <row r="356" spans="16:16" x14ac:dyDescent="0.2">
      <c r="P356" s="23"/>
    </row>
    <row r="357" spans="16:16" x14ac:dyDescent="0.2">
      <c r="P357" s="23"/>
    </row>
    <row r="358" spans="16:16" x14ac:dyDescent="0.2">
      <c r="P358" s="23"/>
    </row>
    <row r="359" spans="16:16" x14ac:dyDescent="0.2">
      <c r="P359" s="23"/>
    </row>
    <row r="360" spans="16:16" x14ac:dyDescent="0.2">
      <c r="P360" s="23"/>
    </row>
    <row r="361" spans="16:16" x14ac:dyDescent="0.2">
      <c r="P361" s="23"/>
    </row>
    <row r="362" spans="16:16" x14ac:dyDescent="0.2">
      <c r="P362" s="23"/>
    </row>
    <row r="363" spans="16:16" x14ac:dyDescent="0.2">
      <c r="P363" s="23"/>
    </row>
    <row r="364" spans="16:16" x14ac:dyDescent="0.2">
      <c r="P364" s="23"/>
    </row>
    <row r="365" spans="16:16" x14ac:dyDescent="0.2">
      <c r="P365" s="23"/>
    </row>
    <row r="366" spans="16:16" x14ac:dyDescent="0.2">
      <c r="P366" s="23"/>
    </row>
    <row r="367" spans="16:16" x14ac:dyDescent="0.2">
      <c r="P367" s="23"/>
    </row>
    <row r="368" spans="16:16" x14ac:dyDescent="0.2">
      <c r="P368" s="23"/>
    </row>
    <row r="369" spans="16:16" x14ac:dyDescent="0.2">
      <c r="P369" s="23"/>
    </row>
    <row r="370" spans="16:16" x14ac:dyDescent="0.2">
      <c r="P370" s="23"/>
    </row>
    <row r="371" spans="16:16" x14ac:dyDescent="0.2">
      <c r="P371" s="23"/>
    </row>
    <row r="372" spans="16:16" x14ac:dyDescent="0.2">
      <c r="P372" s="23"/>
    </row>
    <row r="373" spans="16:16" x14ac:dyDescent="0.2">
      <c r="P373" s="23"/>
    </row>
    <row r="374" spans="16:16" x14ac:dyDescent="0.2">
      <c r="P374" s="23"/>
    </row>
    <row r="375" spans="16:16" x14ac:dyDescent="0.2">
      <c r="P375" s="23"/>
    </row>
    <row r="376" spans="16:16" x14ac:dyDescent="0.2">
      <c r="P376" s="23"/>
    </row>
    <row r="377" spans="16:16" x14ac:dyDescent="0.2">
      <c r="P377" s="23"/>
    </row>
    <row r="378" spans="16:16" x14ac:dyDescent="0.2">
      <c r="P378" s="23"/>
    </row>
    <row r="379" spans="16:16" x14ac:dyDescent="0.2">
      <c r="P379" s="23"/>
    </row>
    <row r="380" spans="16:16" x14ac:dyDescent="0.2">
      <c r="P380" s="23"/>
    </row>
    <row r="381" spans="16:16" x14ac:dyDescent="0.2">
      <c r="P381" s="23"/>
    </row>
    <row r="382" spans="16:16" x14ac:dyDescent="0.2">
      <c r="P382" s="23"/>
    </row>
    <row r="383" spans="16:16" x14ac:dyDescent="0.2">
      <c r="P383" s="23"/>
    </row>
    <row r="384" spans="16:16" x14ac:dyDescent="0.2">
      <c r="P384" s="23"/>
    </row>
    <row r="385" spans="16:16" x14ac:dyDescent="0.2">
      <c r="P385" s="23"/>
    </row>
    <row r="386" spans="16:16" x14ac:dyDescent="0.2">
      <c r="P386" s="23"/>
    </row>
    <row r="387" spans="16:16" x14ac:dyDescent="0.2">
      <c r="P387" s="23"/>
    </row>
    <row r="388" spans="16:16" x14ac:dyDescent="0.2">
      <c r="P388" s="23"/>
    </row>
    <row r="389" spans="16:16" x14ac:dyDescent="0.2">
      <c r="P389" s="23"/>
    </row>
    <row r="390" spans="16:16" x14ac:dyDescent="0.2">
      <c r="P390" s="23"/>
    </row>
    <row r="391" spans="16:16" x14ac:dyDescent="0.2">
      <c r="P391" s="23"/>
    </row>
    <row r="392" spans="16:16" x14ac:dyDescent="0.2">
      <c r="P392" s="23"/>
    </row>
    <row r="393" spans="16:16" x14ac:dyDescent="0.2">
      <c r="P393" s="23"/>
    </row>
    <row r="394" spans="16:16" x14ac:dyDescent="0.2">
      <c r="P394" s="23"/>
    </row>
    <row r="395" spans="16:16" x14ac:dyDescent="0.2">
      <c r="P395" s="23"/>
    </row>
    <row r="396" spans="16:16" x14ac:dyDescent="0.2">
      <c r="P396" s="23"/>
    </row>
    <row r="397" spans="16:16" x14ac:dyDescent="0.2">
      <c r="P397" s="23"/>
    </row>
    <row r="398" spans="16:16" x14ac:dyDescent="0.2">
      <c r="P398" s="23"/>
    </row>
    <row r="399" spans="16:16" x14ac:dyDescent="0.2">
      <c r="P399" s="23"/>
    </row>
    <row r="400" spans="16:16" x14ac:dyDescent="0.2">
      <c r="P400" s="23"/>
    </row>
    <row r="401" spans="16:16" x14ac:dyDescent="0.2">
      <c r="P401" s="23"/>
    </row>
    <row r="402" spans="16:16" x14ac:dyDescent="0.2">
      <c r="P402" s="23"/>
    </row>
    <row r="403" spans="16:16" x14ac:dyDescent="0.2">
      <c r="P403" s="23"/>
    </row>
    <row r="404" spans="16:16" x14ac:dyDescent="0.2">
      <c r="P404" s="23"/>
    </row>
    <row r="405" spans="16:16" x14ac:dyDescent="0.2">
      <c r="P405" s="23"/>
    </row>
    <row r="406" spans="16:16" x14ac:dyDescent="0.2">
      <c r="P406" s="23"/>
    </row>
    <row r="407" spans="16:16" x14ac:dyDescent="0.2">
      <c r="P407" s="23"/>
    </row>
    <row r="408" spans="16:16" x14ac:dyDescent="0.2">
      <c r="P408" s="23"/>
    </row>
    <row r="409" spans="16:16" x14ac:dyDescent="0.2">
      <c r="P409" s="23"/>
    </row>
    <row r="410" spans="16:16" x14ac:dyDescent="0.2">
      <c r="P410" s="23"/>
    </row>
    <row r="411" spans="16:16" x14ac:dyDescent="0.2">
      <c r="P411" s="23"/>
    </row>
    <row r="412" spans="16:16" x14ac:dyDescent="0.2">
      <c r="P412" s="23"/>
    </row>
    <row r="413" spans="16:16" x14ac:dyDescent="0.2">
      <c r="P413" s="23"/>
    </row>
    <row r="414" spans="16:16" x14ac:dyDescent="0.2">
      <c r="P414" s="23"/>
    </row>
    <row r="415" spans="16:16" x14ac:dyDescent="0.2">
      <c r="P415" s="23"/>
    </row>
    <row r="416" spans="16:16" x14ac:dyDescent="0.2">
      <c r="P416" s="23"/>
    </row>
    <row r="417" spans="16:16" x14ac:dyDescent="0.2">
      <c r="P417" s="23"/>
    </row>
    <row r="418" spans="16:16" x14ac:dyDescent="0.2">
      <c r="P418" s="23"/>
    </row>
    <row r="419" spans="16:16" x14ac:dyDescent="0.2">
      <c r="P419" s="23"/>
    </row>
    <row r="420" spans="16:16" x14ac:dyDescent="0.2">
      <c r="P420" s="23"/>
    </row>
    <row r="421" spans="16:16" x14ac:dyDescent="0.2">
      <c r="P421" s="23"/>
    </row>
    <row r="422" spans="16:16" x14ac:dyDescent="0.2">
      <c r="P422" s="23"/>
    </row>
    <row r="423" spans="16:16" x14ac:dyDescent="0.2">
      <c r="P423" s="23"/>
    </row>
    <row r="424" spans="16:16" x14ac:dyDescent="0.2">
      <c r="P424" s="23"/>
    </row>
    <row r="425" spans="16:16" x14ac:dyDescent="0.2">
      <c r="P425" s="23"/>
    </row>
    <row r="426" spans="16:16" x14ac:dyDescent="0.2">
      <c r="P426" s="23"/>
    </row>
    <row r="427" spans="16:16" x14ac:dyDescent="0.2">
      <c r="P427" s="23"/>
    </row>
    <row r="428" spans="16:16" x14ac:dyDescent="0.2">
      <c r="P428" s="23"/>
    </row>
    <row r="429" spans="16:16" x14ac:dyDescent="0.2">
      <c r="P429" s="23"/>
    </row>
    <row r="430" spans="16:16" x14ac:dyDescent="0.2">
      <c r="P430" s="23"/>
    </row>
    <row r="431" spans="16:16" x14ac:dyDescent="0.2">
      <c r="P431" s="23"/>
    </row>
    <row r="432" spans="16:16" x14ac:dyDescent="0.2">
      <c r="P432" s="23"/>
    </row>
    <row r="433" spans="16:16" x14ac:dyDescent="0.2">
      <c r="P433" s="23"/>
    </row>
    <row r="434" spans="16:16" x14ac:dyDescent="0.2">
      <c r="P434" s="23"/>
    </row>
    <row r="435" spans="16:16" x14ac:dyDescent="0.2">
      <c r="P435" s="23"/>
    </row>
    <row r="436" spans="16:16" x14ac:dyDescent="0.2">
      <c r="P436" s="23"/>
    </row>
    <row r="437" spans="16:16" x14ac:dyDescent="0.2">
      <c r="P437" s="23"/>
    </row>
    <row r="438" spans="16:16" x14ac:dyDescent="0.2">
      <c r="P438" s="23"/>
    </row>
    <row r="439" spans="16:16" x14ac:dyDescent="0.2">
      <c r="P439" s="23"/>
    </row>
    <row r="440" spans="16:16" x14ac:dyDescent="0.2">
      <c r="P440" s="23"/>
    </row>
    <row r="441" spans="16:16" x14ac:dyDescent="0.2">
      <c r="P441" s="23"/>
    </row>
    <row r="442" spans="16:16" x14ac:dyDescent="0.2">
      <c r="P442" s="23"/>
    </row>
    <row r="443" spans="16:16" x14ac:dyDescent="0.2">
      <c r="P443" s="23"/>
    </row>
    <row r="444" spans="16:16" x14ac:dyDescent="0.2">
      <c r="P444" s="23"/>
    </row>
    <row r="445" spans="16:16" x14ac:dyDescent="0.2">
      <c r="P445" s="23"/>
    </row>
    <row r="446" spans="16:16" x14ac:dyDescent="0.2">
      <c r="P446" s="23"/>
    </row>
    <row r="447" spans="16:16" x14ac:dyDescent="0.2">
      <c r="P447" s="23"/>
    </row>
    <row r="448" spans="16:16" x14ac:dyDescent="0.2">
      <c r="P448" s="23"/>
    </row>
    <row r="449" spans="16:16" x14ac:dyDescent="0.2">
      <c r="P449" s="23"/>
    </row>
    <row r="450" spans="16:16" x14ac:dyDescent="0.2">
      <c r="P450" s="23"/>
    </row>
    <row r="451" spans="16:16" x14ac:dyDescent="0.2">
      <c r="P451" s="23"/>
    </row>
    <row r="452" spans="16:16" x14ac:dyDescent="0.2">
      <c r="P452" s="23"/>
    </row>
    <row r="453" spans="16:16" x14ac:dyDescent="0.2">
      <c r="P453" s="23"/>
    </row>
    <row r="454" spans="16:16" x14ac:dyDescent="0.2">
      <c r="P454" s="23"/>
    </row>
    <row r="455" spans="16:16" x14ac:dyDescent="0.2">
      <c r="P455" s="23"/>
    </row>
    <row r="456" spans="16:16" x14ac:dyDescent="0.2">
      <c r="P456" s="23"/>
    </row>
    <row r="457" spans="16:16" x14ac:dyDescent="0.2">
      <c r="P457" s="23"/>
    </row>
    <row r="458" spans="16:16" x14ac:dyDescent="0.2">
      <c r="P458" s="23"/>
    </row>
    <row r="459" spans="16:16" x14ac:dyDescent="0.2">
      <c r="P459" s="23"/>
    </row>
    <row r="460" spans="16:16" x14ac:dyDescent="0.2">
      <c r="P460" s="23"/>
    </row>
    <row r="461" spans="16:16" x14ac:dyDescent="0.2">
      <c r="P461" s="23"/>
    </row>
    <row r="462" spans="16:16" x14ac:dyDescent="0.2">
      <c r="P462" s="23"/>
    </row>
    <row r="463" spans="16:16" x14ac:dyDescent="0.2">
      <c r="P463" s="23"/>
    </row>
    <row r="464" spans="16:16" x14ac:dyDescent="0.2">
      <c r="P464" s="23"/>
    </row>
    <row r="465" spans="16:16" x14ac:dyDescent="0.2">
      <c r="P465" s="23"/>
    </row>
    <row r="466" spans="16:16" x14ac:dyDescent="0.2">
      <c r="P466" s="23"/>
    </row>
    <row r="467" spans="16:16" x14ac:dyDescent="0.2">
      <c r="P467" s="23"/>
    </row>
    <row r="468" spans="16:16" x14ac:dyDescent="0.2">
      <c r="P468" s="23"/>
    </row>
    <row r="469" spans="16:16" x14ac:dyDescent="0.2">
      <c r="P469" s="23"/>
    </row>
    <row r="470" spans="16:16" x14ac:dyDescent="0.2">
      <c r="P470" s="23"/>
    </row>
    <row r="471" spans="16:16" x14ac:dyDescent="0.2">
      <c r="P471" s="23"/>
    </row>
    <row r="472" spans="16:16" x14ac:dyDescent="0.2">
      <c r="P472" s="23"/>
    </row>
    <row r="473" spans="16:16" x14ac:dyDescent="0.2">
      <c r="P473" s="23"/>
    </row>
    <row r="474" spans="16:16" x14ac:dyDescent="0.2">
      <c r="P474" s="23"/>
    </row>
    <row r="475" spans="16:16" x14ac:dyDescent="0.2">
      <c r="P475" s="23"/>
    </row>
    <row r="476" spans="16:16" x14ac:dyDescent="0.2">
      <c r="P476" s="23"/>
    </row>
    <row r="477" spans="16:16" x14ac:dyDescent="0.2">
      <c r="P477" s="23"/>
    </row>
    <row r="478" spans="16:16" x14ac:dyDescent="0.2">
      <c r="P478" s="23"/>
    </row>
    <row r="479" spans="16:16" x14ac:dyDescent="0.2">
      <c r="P479" s="23"/>
    </row>
    <row r="480" spans="16:16" x14ac:dyDescent="0.2">
      <c r="P480" s="23"/>
    </row>
    <row r="481" spans="16:16" x14ac:dyDescent="0.2">
      <c r="P481" s="23"/>
    </row>
    <row r="482" spans="16:16" x14ac:dyDescent="0.2">
      <c r="P482" s="23"/>
    </row>
    <row r="483" spans="16:16" x14ac:dyDescent="0.2">
      <c r="P483" s="23"/>
    </row>
    <row r="484" spans="16:16" x14ac:dyDescent="0.2">
      <c r="P484" s="23"/>
    </row>
    <row r="485" spans="16:16" x14ac:dyDescent="0.2">
      <c r="P485" s="23"/>
    </row>
    <row r="486" spans="16:16" x14ac:dyDescent="0.2">
      <c r="P486" s="23"/>
    </row>
    <row r="487" spans="16:16" x14ac:dyDescent="0.2">
      <c r="P487" s="23"/>
    </row>
    <row r="488" spans="16:16" x14ac:dyDescent="0.2">
      <c r="P488" s="23"/>
    </row>
    <row r="489" spans="16:16" x14ac:dyDescent="0.2">
      <c r="P489" s="23"/>
    </row>
    <row r="490" spans="16:16" x14ac:dyDescent="0.2">
      <c r="P490" s="23"/>
    </row>
    <row r="491" spans="16:16" x14ac:dyDescent="0.2">
      <c r="P491" s="23"/>
    </row>
    <row r="492" spans="16:16" x14ac:dyDescent="0.2">
      <c r="P492" s="23"/>
    </row>
    <row r="493" spans="16:16" x14ac:dyDescent="0.2">
      <c r="P493" s="23"/>
    </row>
    <row r="494" spans="16:16" x14ac:dyDescent="0.2">
      <c r="P494" s="23"/>
    </row>
    <row r="495" spans="16:16" x14ac:dyDescent="0.2">
      <c r="P495" s="23"/>
    </row>
    <row r="496" spans="16:16" x14ac:dyDescent="0.2">
      <c r="P496" s="23"/>
    </row>
    <row r="497" spans="16:16" x14ac:dyDescent="0.2">
      <c r="P497" s="23"/>
    </row>
    <row r="498" spans="16:16" x14ac:dyDescent="0.2">
      <c r="P498" s="23"/>
    </row>
    <row r="499" spans="16:16" x14ac:dyDescent="0.2">
      <c r="P499" s="23"/>
    </row>
    <row r="500" spans="16:16" x14ac:dyDescent="0.2">
      <c r="P500" s="23"/>
    </row>
    <row r="501" spans="16:16" x14ac:dyDescent="0.2">
      <c r="P501" s="23"/>
    </row>
    <row r="502" spans="16:16" x14ac:dyDescent="0.2">
      <c r="P502" s="23"/>
    </row>
    <row r="503" spans="16:16" x14ac:dyDescent="0.2">
      <c r="P503" s="23"/>
    </row>
    <row r="504" spans="16:16" x14ac:dyDescent="0.2">
      <c r="P504" s="23"/>
    </row>
    <row r="505" spans="16:16" x14ac:dyDescent="0.2">
      <c r="P505" s="23"/>
    </row>
    <row r="506" spans="16:16" x14ac:dyDescent="0.2">
      <c r="P506" s="23"/>
    </row>
    <row r="507" spans="16:16" x14ac:dyDescent="0.2">
      <c r="P507" s="23"/>
    </row>
    <row r="508" spans="16:16" x14ac:dyDescent="0.2">
      <c r="P508" s="23"/>
    </row>
    <row r="509" spans="16:16" x14ac:dyDescent="0.2">
      <c r="P509" s="23"/>
    </row>
    <row r="510" spans="16:16" x14ac:dyDescent="0.2">
      <c r="P510" s="23"/>
    </row>
    <row r="511" spans="16:16" x14ac:dyDescent="0.2">
      <c r="P511" s="23"/>
    </row>
    <row r="512" spans="16:16" x14ac:dyDescent="0.2">
      <c r="P512" s="23"/>
    </row>
    <row r="513" spans="16:16" x14ac:dyDescent="0.2">
      <c r="P513" s="23"/>
    </row>
    <row r="514" spans="16:16" x14ac:dyDescent="0.2">
      <c r="P514" s="23"/>
    </row>
    <row r="515" spans="16:16" x14ac:dyDescent="0.2">
      <c r="P515" s="23"/>
    </row>
    <row r="516" spans="16:16" x14ac:dyDescent="0.2">
      <c r="P516" s="23"/>
    </row>
    <row r="517" spans="16:16" x14ac:dyDescent="0.2">
      <c r="P517" s="23"/>
    </row>
    <row r="518" spans="16:16" x14ac:dyDescent="0.2">
      <c r="P518" s="23"/>
    </row>
    <row r="519" spans="16:16" x14ac:dyDescent="0.2">
      <c r="P519" s="23"/>
    </row>
    <row r="520" spans="16:16" x14ac:dyDescent="0.2">
      <c r="P520" s="23"/>
    </row>
    <row r="521" spans="16:16" x14ac:dyDescent="0.2">
      <c r="P521" s="23"/>
    </row>
    <row r="522" spans="16:16" x14ac:dyDescent="0.2">
      <c r="P522" s="23"/>
    </row>
    <row r="523" spans="16:16" x14ac:dyDescent="0.2">
      <c r="P523" s="23"/>
    </row>
    <row r="524" spans="16:16" x14ac:dyDescent="0.2">
      <c r="P524" s="23"/>
    </row>
    <row r="525" spans="16:16" x14ac:dyDescent="0.2">
      <c r="P525" s="23"/>
    </row>
    <row r="526" spans="16:16" x14ac:dyDescent="0.2">
      <c r="P526" s="23"/>
    </row>
    <row r="527" spans="16:16" x14ac:dyDescent="0.2">
      <c r="P527" s="23"/>
    </row>
    <row r="528" spans="16:16" x14ac:dyDescent="0.2">
      <c r="P528" s="23"/>
    </row>
    <row r="529" spans="16:16" x14ac:dyDescent="0.2">
      <c r="P529" s="23"/>
    </row>
    <row r="530" spans="16:16" x14ac:dyDescent="0.2">
      <c r="P530" s="23"/>
    </row>
    <row r="531" spans="16:16" x14ac:dyDescent="0.2">
      <c r="P531" s="23"/>
    </row>
    <row r="532" spans="16:16" x14ac:dyDescent="0.2">
      <c r="P532" s="23"/>
    </row>
    <row r="533" spans="16:16" x14ac:dyDescent="0.2">
      <c r="P533" s="23"/>
    </row>
    <row r="534" spans="16:16" x14ac:dyDescent="0.2">
      <c r="P534" s="23"/>
    </row>
    <row r="535" spans="16:16" x14ac:dyDescent="0.2">
      <c r="P535" s="23"/>
    </row>
    <row r="536" spans="16:16" x14ac:dyDescent="0.2">
      <c r="P536" s="23"/>
    </row>
    <row r="537" spans="16:16" x14ac:dyDescent="0.2">
      <c r="P537" s="23"/>
    </row>
    <row r="538" spans="16:16" x14ac:dyDescent="0.2">
      <c r="P538" s="23"/>
    </row>
    <row r="539" spans="16:16" x14ac:dyDescent="0.2">
      <c r="P539" s="23"/>
    </row>
    <row r="540" spans="16:16" x14ac:dyDescent="0.2">
      <c r="P540" s="23"/>
    </row>
    <row r="541" spans="16:16" x14ac:dyDescent="0.2">
      <c r="P541" s="23"/>
    </row>
    <row r="542" spans="16:16" x14ac:dyDescent="0.2">
      <c r="P542" s="23"/>
    </row>
    <row r="543" spans="16:16" x14ac:dyDescent="0.2">
      <c r="P543" s="23"/>
    </row>
    <row r="544" spans="16:16" x14ac:dyDescent="0.2">
      <c r="P544" s="23"/>
    </row>
    <row r="545" spans="16:16" x14ac:dyDescent="0.2">
      <c r="P545" s="23"/>
    </row>
    <row r="546" spans="16:16" x14ac:dyDescent="0.2">
      <c r="P546" s="23"/>
    </row>
    <row r="547" spans="16:16" x14ac:dyDescent="0.2">
      <c r="P547" s="23"/>
    </row>
    <row r="548" spans="16:16" x14ac:dyDescent="0.2">
      <c r="P548" s="23"/>
    </row>
    <row r="549" spans="16:16" x14ac:dyDescent="0.2">
      <c r="P549" s="23"/>
    </row>
    <row r="550" spans="16:16" x14ac:dyDescent="0.2">
      <c r="P550" s="23"/>
    </row>
    <row r="551" spans="16:16" x14ac:dyDescent="0.2">
      <c r="P551" s="23"/>
    </row>
    <row r="552" spans="16:16" x14ac:dyDescent="0.2">
      <c r="P552" s="23"/>
    </row>
    <row r="553" spans="16:16" x14ac:dyDescent="0.2">
      <c r="P553" s="23"/>
    </row>
    <row r="554" spans="16:16" x14ac:dyDescent="0.2">
      <c r="P554" s="23"/>
    </row>
    <row r="555" spans="16:16" x14ac:dyDescent="0.2">
      <c r="P555" s="23"/>
    </row>
    <row r="556" spans="16:16" x14ac:dyDescent="0.2">
      <c r="P556" s="23"/>
    </row>
    <row r="557" spans="16:16" x14ac:dyDescent="0.2">
      <c r="P557" s="23"/>
    </row>
    <row r="558" spans="16:16" x14ac:dyDescent="0.2">
      <c r="P558" s="23"/>
    </row>
    <row r="559" spans="16:16" x14ac:dyDescent="0.2">
      <c r="P559" s="23"/>
    </row>
    <row r="560" spans="16:16" x14ac:dyDescent="0.2">
      <c r="P560" s="23"/>
    </row>
    <row r="561" spans="16:16" x14ac:dyDescent="0.2">
      <c r="P561" s="23"/>
    </row>
    <row r="562" spans="16:16" x14ac:dyDescent="0.2">
      <c r="P562" s="23"/>
    </row>
    <row r="563" spans="16:16" x14ac:dyDescent="0.2">
      <c r="P563" s="23"/>
    </row>
    <row r="564" spans="16:16" x14ac:dyDescent="0.2">
      <c r="P564" s="23"/>
    </row>
    <row r="565" spans="16:16" x14ac:dyDescent="0.2">
      <c r="P565" s="23"/>
    </row>
    <row r="566" spans="16:16" x14ac:dyDescent="0.2">
      <c r="P566" s="23"/>
    </row>
    <row r="567" spans="16:16" x14ac:dyDescent="0.2">
      <c r="P567" s="23"/>
    </row>
    <row r="568" spans="16:16" x14ac:dyDescent="0.2">
      <c r="P568" s="23"/>
    </row>
    <row r="569" spans="16:16" x14ac:dyDescent="0.2">
      <c r="P569" s="23"/>
    </row>
    <row r="570" spans="16:16" x14ac:dyDescent="0.2">
      <c r="P570" s="23"/>
    </row>
    <row r="571" spans="16:16" x14ac:dyDescent="0.2">
      <c r="P571" s="23"/>
    </row>
    <row r="572" spans="16:16" x14ac:dyDescent="0.2">
      <c r="P572" s="23"/>
    </row>
    <row r="573" spans="16:16" x14ac:dyDescent="0.2">
      <c r="P573" s="23"/>
    </row>
    <row r="574" spans="16:16" x14ac:dyDescent="0.2">
      <c r="P574" s="23"/>
    </row>
    <row r="575" spans="16:16" x14ac:dyDescent="0.2">
      <c r="P575" s="23"/>
    </row>
    <row r="576" spans="16:16" x14ac:dyDescent="0.2">
      <c r="P576" s="23"/>
    </row>
    <row r="577" spans="16:16" x14ac:dyDescent="0.2">
      <c r="P577" s="23"/>
    </row>
    <row r="578" spans="16:16" x14ac:dyDescent="0.2">
      <c r="P578" s="23"/>
    </row>
    <row r="579" spans="16:16" x14ac:dyDescent="0.2">
      <c r="P579" s="23"/>
    </row>
    <row r="580" spans="16:16" x14ac:dyDescent="0.2">
      <c r="P580" s="23"/>
    </row>
    <row r="581" spans="16:16" x14ac:dyDescent="0.2">
      <c r="P581" s="23"/>
    </row>
    <row r="582" spans="16:16" x14ac:dyDescent="0.2">
      <c r="P582" s="23"/>
    </row>
    <row r="583" spans="16:16" x14ac:dyDescent="0.2">
      <c r="P583" s="23"/>
    </row>
    <row r="584" spans="16:16" x14ac:dyDescent="0.2">
      <c r="P584" s="23"/>
    </row>
    <row r="585" spans="16:16" x14ac:dyDescent="0.2">
      <c r="P585" s="23"/>
    </row>
    <row r="586" spans="16:16" x14ac:dyDescent="0.2">
      <c r="P586" s="23"/>
    </row>
    <row r="587" spans="16:16" x14ac:dyDescent="0.2">
      <c r="P587" s="23"/>
    </row>
    <row r="588" spans="16:16" x14ac:dyDescent="0.2">
      <c r="P588" s="23"/>
    </row>
    <row r="589" spans="16:16" x14ac:dyDescent="0.2">
      <c r="P589" s="23"/>
    </row>
    <row r="590" spans="16:16" x14ac:dyDescent="0.2">
      <c r="P590" s="23"/>
    </row>
    <row r="591" spans="16:16" x14ac:dyDescent="0.2">
      <c r="P591" s="23"/>
    </row>
    <row r="592" spans="16:16" x14ac:dyDescent="0.2">
      <c r="P592" s="23"/>
    </row>
  </sheetData>
  <sheetProtection algorithmName="SHA-512" hashValue="JhsPlQ/pz1n2i8tuY1Fqmx5uMYbieDbw7gBF1rRJZOVHxG8z7stF+oz7zNVxgqQFSU0SARD87vm6aZnlpKIi5g==" saltValue="5WRqAKDbkd6hPaEMRC8xhA==" spinCount="100000" sheet="1" objects="1" scenarios="1"/>
  <mergeCells count="4">
    <mergeCell ref="B4:O4"/>
    <mergeCell ref="B40:O40"/>
    <mergeCell ref="B41:O46"/>
    <mergeCell ref="B6:O6"/>
  </mergeCells>
  <conditionalFormatting sqref="G35:G36">
    <cfRule type="cellIs" dxfId="1" priority="2" operator="greaterThan">
      <formula>0.3</formula>
    </cfRule>
  </conditionalFormatting>
  <pageMargins left="0.78740157499999996" right="0.78740157499999996" top="0.984251969" bottom="0.984251969" header="0.49212598499999999" footer="0.49212598499999999"/>
  <pageSetup paperSize="9" scale="77" orientation="landscape" horizontalDpi="4294967293" r:id="rId1"/>
  <headerFooter alignWithMargins="0">
    <oddHeader>&amp;A</oddHeader>
    <oddFooter>Página &amp;P</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3">
    <tabColor rgb="FFFFFF00"/>
  </sheetPr>
  <dimension ref="A1:AN65"/>
  <sheetViews>
    <sheetView showGridLines="0" zoomScaleNormal="100" zoomScaleSheetLayoutView="50" workbookViewId="0">
      <selection activeCell="B11" sqref="B11:L12"/>
    </sheetView>
  </sheetViews>
  <sheetFormatPr defaultColWidth="11.42578125" defaultRowHeight="15" x14ac:dyDescent="0.2"/>
  <cols>
    <col min="1" max="1" width="41.85546875" style="14" customWidth="1"/>
    <col min="2" max="2" width="20.42578125" style="14" customWidth="1"/>
    <col min="3" max="3" width="14.5703125" style="14" customWidth="1"/>
    <col min="4" max="4" width="14.42578125" style="14" customWidth="1"/>
    <col min="5" max="5" width="11.42578125" style="14" customWidth="1"/>
    <col min="6" max="6" width="12.42578125" style="14" customWidth="1"/>
    <col min="7" max="7" width="11.28515625" style="14" customWidth="1"/>
    <col min="8" max="9" width="12.7109375" style="14" customWidth="1"/>
    <col min="10" max="10" width="11.5703125" style="14" customWidth="1"/>
    <col min="11" max="11" width="12.42578125" style="14" customWidth="1"/>
    <col min="12" max="12" width="14" style="14" customWidth="1"/>
    <col min="13" max="15" width="17" style="14" customWidth="1"/>
    <col min="16" max="16" width="12.28515625" style="14" hidden="1" customWidth="1"/>
    <col min="17" max="17" width="20.42578125" style="14" hidden="1" customWidth="1"/>
    <col min="18" max="18" width="13.42578125" style="14" customWidth="1"/>
    <col min="19" max="20" width="11.42578125" style="14" customWidth="1"/>
    <col min="21" max="21" width="17.5703125" style="14" customWidth="1"/>
    <col min="22" max="22" width="12.85546875" style="14" customWidth="1"/>
    <col min="23" max="23" width="11.42578125" style="14" customWidth="1"/>
    <col min="24" max="24" width="18.140625" style="14" customWidth="1"/>
    <col min="25" max="26" width="11.42578125" style="14" customWidth="1"/>
    <col min="27" max="27" width="16.28515625" style="14" customWidth="1"/>
    <col min="28" max="16384" width="11.42578125" style="14"/>
  </cols>
  <sheetData>
    <row r="1" spans="1:37" s="1" customFormat="1" ht="9" customHeight="1" thickBot="1" x14ac:dyDescent="0.25">
      <c r="A1" s="2075"/>
      <c r="B1" s="2075"/>
      <c r="C1" s="2075"/>
      <c r="D1" s="2075"/>
      <c r="E1" s="2075"/>
      <c r="F1" s="2075"/>
      <c r="G1" s="2075"/>
      <c r="H1" s="2075"/>
      <c r="I1" s="2075"/>
      <c r="J1" s="2075"/>
      <c r="K1" s="2075"/>
      <c r="L1" s="2075"/>
      <c r="M1" s="2075"/>
      <c r="R1" s="442"/>
    </row>
    <row r="2" spans="1:37" s="1" customFormat="1" ht="21.75" customHeight="1" thickBot="1" x14ac:dyDescent="0.25">
      <c r="A2" s="2664" t="str">
        <f>CADASTRO!C4</f>
        <v>Digitar o nome</v>
      </c>
      <c r="B2" s="1909"/>
      <c r="C2" s="1909"/>
      <c r="D2" s="1909"/>
      <c r="E2" s="1909" t="str">
        <f>CADASTRO!C6</f>
        <v>Digitar o município</v>
      </c>
      <c r="F2" s="1909"/>
      <c r="G2" s="1909"/>
      <c r="H2" s="1909"/>
      <c r="I2" s="1909"/>
      <c r="J2" s="1909"/>
      <c r="K2" s="1909"/>
      <c r="L2" s="2082">
        <f>CADASTRO!C12</f>
        <v>44013</v>
      </c>
      <c r="M2" s="2665">
        <f>CADASTRO!C14</f>
        <v>44377</v>
      </c>
      <c r="N2" s="2450"/>
      <c r="O2" s="2450"/>
      <c r="R2" s="442"/>
      <c r="S2" s="5"/>
      <c r="T2" s="5"/>
      <c r="U2" s="5"/>
      <c r="V2" s="5"/>
    </row>
    <row r="3" spans="1:37" s="1" customFormat="1" ht="6.75" customHeight="1" thickBot="1" x14ac:dyDescent="0.25">
      <c r="N3" s="2450"/>
      <c r="O3" s="2450"/>
    </row>
    <row r="4" spans="1:37" ht="32.25" customHeight="1" thickBot="1" x14ac:dyDescent="0.3">
      <c r="A4" s="2875" t="s">
        <v>1040</v>
      </c>
      <c r="B4" s="2876"/>
      <c r="C4" s="2876"/>
      <c r="D4" s="2876"/>
      <c r="E4" s="2876"/>
      <c r="F4" s="2876"/>
      <c r="G4" s="2876"/>
      <c r="H4" s="2876"/>
      <c r="I4" s="2876"/>
      <c r="J4" s="2876"/>
      <c r="K4" s="2876"/>
      <c r="L4" s="2876"/>
      <c r="M4" s="2877"/>
      <c r="N4" s="2450"/>
      <c r="O4" s="2450"/>
      <c r="P4" s="443"/>
      <c r="Q4" s="443"/>
      <c r="R4" s="442"/>
      <c r="S4" s="5"/>
      <c r="T4" s="5"/>
      <c r="U4" s="5"/>
      <c r="V4" s="5"/>
      <c r="W4" s="1"/>
      <c r="X4" s="1"/>
      <c r="Y4" s="1"/>
      <c r="Z4" s="1"/>
      <c r="AE4" s="1"/>
      <c r="AF4" s="1"/>
      <c r="AG4" s="1"/>
      <c r="AH4" s="1"/>
      <c r="AI4" s="1"/>
      <c r="AJ4" s="1"/>
      <c r="AK4" s="1"/>
    </row>
    <row r="5" spans="1:37" s="1" customFormat="1" ht="11.25" customHeight="1" thickBot="1" x14ac:dyDescent="0.25"/>
    <row r="6" spans="1:37" ht="27.75" customHeight="1" thickBot="1" x14ac:dyDescent="0.25">
      <c r="A6" s="2747" t="s">
        <v>84</v>
      </c>
      <c r="B6" s="2782" t="s">
        <v>1043</v>
      </c>
      <c r="C6" s="2780" t="s">
        <v>1041</v>
      </c>
      <c r="D6" s="2781"/>
      <c r="E6" s="2781"/>
      <c r="F6" s="2781"/>
      <c r="G6" s="2781"/>
      <c r="H6" s="2781"/>
      <c r="I6" s="2781"/>
      <c r="J6" s="2781"/>
      <c r="K6" s="2781"/>
      <c r="L6" s="2781"/>
      <c r="M6" s="2781"/>
      <c r="N6" s="2781"/>
      <c r="O6" s="2816"/>
      <c r="P6" s="444"/>
      <c r="Q6" s="5"/>
      <c r="R6" s="442"/>
      <c r="S6" s="5"/>
      <c r="T6" s="5"/>
      <c r="U6" s="5"/>
      <c r="V6" s="5"/>
      <c r="W6" s="1"/>
      <c r="X6" s="1"/>
      <c r="Y6" s="1"/>
      <c r="Z6" s="1"/>
      <c r="AE6" s="1"/>
      <c r="AF6" s="1"/>
      <c r="AG6" s="1"/>
      <c r="AH6" s="1"/>
      <c r="AI6" s="1"/>
      <c r="AJ6" s="1"/>
      <c r="AK6" s="1"/>
    </row>
    <row r="7" spans="1:37" ht="26.25" customHeight="1" thickBot="1" x14ac:dyDescent="0.3">
      <c r="A7" s="3010"/>
      <c r="B7" s="2783"/>
      <c r="C7" s="2109" t="str">
        <f>'C. MÁQ.'!C28</f>
        <v>LEITE</v>
      </c>
      <c r="D7" s="2467">
        <f>'C. MÁQ.'!D28</f>
        <v>0</v>
      </c>
      <c r="E7" s="2467">
        <f>'C. MÁQ.'!E28</f>
        <v>0</v>
      </c>
      <c r="F7" s="2467">
        <f>'C. MÁQ.'!F28</f>
        <v>0</v>
      </c>
      <c r="G7" s="2467">
        <f>'C. MÁQ.'!G28</f>
        <v>0</v>
      </c>
      <c r="H7" s="2467">
        <f>'C. MÁQ.'!H28</f>
        <v>0</v>
      </c>
      <c r="I7" s="2467">
        <f>'C. MÁQ.'!I28</f>
        <v>0</v>
      </c>
      <c r="J7" s="2467">
        <f>'C. MÁQ.'!J28</f>
        <v>0</v>
      </c>
      <c r="K7" s="2467">
        <f>'C. MÁQ.'!K28</f>
        <v>0</v>
      </c>
      <c r="L7" s="2468">
        <f>'C. MÁQ.'!L28</f>
        <v>0</v>
      </c>
      <c r="M7" s="2469">
        <f>'C. MÁQ.'!M28</f>
        <v>0</v>
      </c>
      <c r="N7" s="2469">
        <f>SOLO!G31</f>
        <v>0</v>
      </c>
      <c r="O7" s="2470" t="s">
        <v>294</v>
      </c>
      <c r="P7" s="3008" t="s">
        <v>85</v>
      </c>
      <c r="Q7" s="3009"/>
      <c r="R7" s="442"/>
      <c r="S7" s="5"/>
      <c r="T7" s="5"/>
      <c r="U7" s="5"/>
      <c r="V7" s="5"/>
      <c r="W7" s="1"/>
      <c r="X7" s="1"/>
      <c r="Y7" s="1"/>
      <c r="Z7" s="1"/>
      <c r="AE7" s="1"/>
      <c r="AF7" s="1"/>
      <c r="AG7" s="1"/>
      <c r="AH7" s="1"/>
      <c r="AI7" s="1"/>
      <c r="AJ7" s="1"/>
      <c r="AK7" s="1"/>
    </row>
    <row r="8" spans="1:37" ht="15.75" x14ac:dyDescent="0.25">
      <c r="A8" s="2460"/>
      <c r="B8" s="2461"/>
      <c r="C8" s="2462"/>
      <c r="D8" s="2463"/>
      <c r="E8" s="2463"/>
      <c r="F8" s="2463"/>
      <c r="G8" s="2463"/>
      <c r="H8" s="2463"/>
      <c r="I8" s="2463"/>
      <c r="J8" s="2463"/>
      <c r="K8" s="2463"/>
      <c r="L8" s="2463"/>
      <c r="M8" s="2463"/>
      <c r="N8" s="2463"/>
      <c r="O8" s="2464"/>
      <c r="P8" s="445">
        <f>SUM(C8:O8)</f>
        <v>0</v>
      </c>
      <c r="Q8" s="446" t="b">
        <f>IF(B8&gt;0,P8=100,IF(B8=0,P8=0))</f>
        <v>1</v>
      </c>
      <c r="R8" s="442"/>
      <c r="S8" s="54"/>
      <c r="T8" s="54"/>
      <c r="U8" s="54"/>
      <c r="V8" s="54"/>
      <c r="W8" s="447"/>
      <c r="X8" s="447"/>
      <c r="Y8" s="447"/>
      <c r="Z8" s="447"/>
      <c r="AA8" s="448"/>
      <c r="AB8" s="448"/>
      <c r="AC8" s="448"/>
      <c r="AD8" s="448"/>
      <c r="AE8" s="1"/>
      <c r="AF8" s="1"/>
      <c r="AG8" s="1"/>
      <c r="AH8" s="1"/>
      <c r="AI8" s="1"/>
      <c r="AJ8" s="1"/>
      <c r="AK8" s="1"/>
    </row>
    <row r="9" spans="1:37" ht="15.75" x14ac:dyDescent="0.25">
      <c r="A9" s="2359"/>
      <c r="B9" s="2465"/>
      <c r="C9" s="2710"/>
      <c r="D9" s="2711"/>
      <c r="E9" s="2711"/>
      <c r="F9" s="2711"/>
      <c r="G9" s="2711"/>
      <c r="H9" s="2711"/>
      <c r="I9" s="2711"/>
      <c r="J9" s="2711"/>
      <c r="K9" s="2711"/>
      <c r="L9" s="2711"/>
      <c r="M9" s="2711"/>
      <c r="N9" s="2711"/>
      <c r="O9" s="2712"/>
      <c r="P9" s="445">
        <f>SUM(C9:O9)</f>
        <v>0</v>
      </c>
      <c r="Q9" s="446" t="b">
        <f>IF(B9&gt;0,P9=100,IF(B9=0,P9=0))</f>
        <v>1</v>
      </c>
      <c r="R9" s="442"/>
      <c r="S9" s="54"/>
      <c r="T9" s="54"/>
      <c r="U9" s="54"/>
      <c r="V9" s="54"/>
      <c r="W9" s="447"/>
      <c r="X9" s="447"/>
      <c r="Y9" s="447"/>
      <c r="Z9" s="447"/>
      <c r="AA9" s="448"/>
      <c r="AB9" s="448"/>
      <c r="AE9" s="1"/>
      <c r="AF9" s="1"/>
      <c r="AG9" s="1"/>
      <c r="AH9" s="1"/>
      <c r="AI9" s="1"/>
      <c r="AJ9" s="1"/>
      <c r="AK9" s="1"/>
    </row>
    <row r="10" spans="1:37" ht="15.75" x14ac:dyDescent="0.25">
      <c r="A10" s="2359"/>
      <c r="B10" s="2465"/>
      <c r="C10" s="2710"/>
      <c r="D10" s="2711"/>
      <c r="E10" s="2711"/>
      <c r="F10" s="2711"/>
      <c r="G10" s="2711"/>
      <c r="H10" s="2711"/>
      <c r="I10" s="2711"/>
      <c r="J10" s="2711"/>
      <c r="K10" s="2711"/>
      <c r="L10" s="2711"/>
      <c r="M10" s="2711"/>
      <c r="N10" s="2711"/>
      <c r="O10" s="2712"/>
      <c r="P10" s="445">
        <f>SUM(C10:O10)</f>
        <v>0</v>
      </c>
      <c r="Q10" s="446" t="b">
        <f>IF(B10&gt;0,P10=100,IF(B10=0,P10=0))</f>
        <v>1</v>
      </c>
      <c r="R10" s="442"/>
      <c r="S10" s="54"/>
      <c r="T10" s="54"/>
      <c r="U10" s="54"/>
      <c r="V10" s="54"/>
      <c r="W10" s="447"/>
      <c r="X10" s="447"/>
      <c r="Y10" s="447"/>
      <c r="Z10" s="447"/>
      <c r="AA10" s="448"/>
      <c r="AB10" s="448"/>
      <c r="AE10" s="1"/>
      <c r="AF10" s="1"/>
      <c r="AG10" s="1"/>
      <c r="AH10" s="1"/>
      <c r="AI10" s="1"/>
      <c r="AJ10" s="1"/>
      <c r="AK10" s="1"/>
    </row>
    <row r="11" spans="1:37" ht="15.75" x14ac:dyDescent="0.25">
      <c r="A11" s="2451" t="str">
        <f>'C. MÁQ.'!J3</f>
        <v>Conservação
 de máq. e equipamentos</v>
      </c>
      <c r="B11" s="2465"/>
      <c r="C11" s="2713"/>
      <c r="D11" s="2711"/>
      <c r="E11" s="2711"/>
      <c r="F11" s="2711"/>
      <c r="G11" s="2711"/>
      <c r="H11" s="2711"/>
      <c r="I11" s="2711"/>
      <c r="J11" s="2711"/>
      <c r="K11" s="2711"/>
      <c r="L11" s="2711"/>
      <c r="M11" s="2711"/>
      <c r="N11" s="2711"/>
      <c r="O11" s="2712"/>
      <c r="P11" s="445">
        <f>SUM(C11:O11)</f>
        <v>0</v>
      </c>
      <c r="Q11" s="446" t="b">
        <f>IF(B11&gt;0,P11=100,IF(B11=0,P11=0))</f>
        <v>1</v>
      </c>
      <c r="R11" s="442"/>
      <c r="S11" s="54"/>
      <c r="T11" s="54"/>
      <c r="U11" s="54"/>
      <c r="V11" s="54"/>
      <c r="W11" s="447"/>
      <c r="X11" s="447"/>
      <c r="Y11" s="447"/>
      <c r="Z11" s="447"/>
      <c r="AA11" s="448"/>
      <c r="AB11" s="448"/>
      <c r="AE11" s="1"/>
      <c r="AF11" s="1"/>
      <c r="AG11" s="1"/>
      <c r="AH11" s="1"/>
      <c r="AI11" s="1"/>
      <c r="AJ11" s="1"/>
      <c r="AK11" s="1"/>
    </row>
    <row r="12" spans="1:37" ht="15.75" x14ac:dyDescent="0.25">
      <c r="A12" s="2451" t="str">
        <f>'D. INSTAL.'!H3</f>
        <v>Conservação e reparos de benfeitorias</v>
      </c>
      <c r="B12" s="2465"/>
      <c r="C12" s="2710"/>
      <c r="D12" s="2711"/>
      <c r="E12" s="2711"/>
      <c r="F12" s="2711"/>
      <c r="G12" s="2711"/>
      <c r="H12" s="2711"/>
      <c r="I12" s="2711"/>
      <c r="J12" s="2711"/>
      <c r="K12" s="2711"/>
      <c r="L12" s="2711"/>
      <c r="M12" s="2711"/>
      <c r="N12" s="2711"/>
      <c r="O12" s="2712"/>
      <c r="P12" s="445">
        <f>SUM(C12:O12)</f>
        <v>0</v>
      </c>
      <c r="Q12" s="446" t="b">
        <f>IF(B12&gt;0,P12=100,IF(B12=0,P12=0))</f>
        <v>1</v>
      </c>
      <c r="R12" s="442"/>
      <c r="S12" s="54"/>
      <c r="T12" s="54"/>
      <c r="U12" s="54"/>
      <c r="V12" s="54"/>
      <c r="W12" s="447"/>
      <c r="X12" s="447"/>
      <c r="Y12" s="447"/>
      <c r="Z12" s="447"/>
      <c r="AA12" s="448"/>
      <c r="AB12" s="448"/>
      <c r="AE12" s="1"/>
      <c r="AF12" s="1"/>
      <c r="AG12" s="1"/>
      <c r="AH12" s="1"/>
      <c r="AI12" s="1"/>
      <c r="AJ12" s="1"/>
      <c r="AK12" s="1"/>
    </row>
    <row r="13" spans="1:37" ht="16.5" thickBot="1" x14ac:dyDescent="0.3">
      <c r="A13" s="2452" t="s">
        <v>1042</v>
      </c>
      <c r="B13" s="2471">
        <f>SUM(D13:O13)</f>
        <v>0</v>
      </c>
      <c r="C13" s="2472">
        <f>PRODUÇÃO!F39*0.023</f>
        <v>0</v>
      </c>
      <c r="D13" s="2473">
        <f>PRODUÇÃO!R92*0.023+(PRODUÇÃO!R82*0.023)</f>
        <v>0</v>
      </c>
      <c r="E13" s="2474">
        <f>(PRODUÇÃO!R83+PRODUÇÃO!R84)*0.023</f>
        <v>0</v>
      </c>
      <c r="F13" s="2474">
        <f>PRODUÇÃO!R85*0.023</f>
        <v>0</v>
      </c>
      <c r="G13" s="2474">
        <f>PRODUÇÃO!U9*0.023</f>
        <v>0</v>
      </c>
      <c r="H13" s="2474">
        <f>PRODUÇÃO!U10*0.023</f>
        <v>0</v>
      </c>
      <c r="I13" s="2474">
        <f>PRODUÇÃO!U11*0.023</f>
        <v>0</v>
      </c>
      <c r="J13" s="2474">
        <f>PRODUÇÃO!U12*0.023</f>
        <v>0</v>
      </c>
      <c r="K13" s="2474">
        <f>PRODUÇÃO!U13*0.023</f>
        <v>0</v>
      </c>
      <c r="L13" s="2453"/>
      <c r="M13" s="2453"/>
      <c r="N13" s="2453"/>
      <c r="O13" s="2454"/>
      <c r="P13" s="449"/>
      <c r="Q13" s="446"/>
      <c r="R13" s="442"/>
      <c r="S13" s="54"/>
      <c r="T13" s="54"/>
      <c r="U13" s="54"/>
      <c r="V13" s="54"/>
      <c r="W13" s="447"/>
      <c r="X13" s="447"/>
      <c r="Y13" s="447"/>
      <c r="Z13" s="447"/>
      <c r="AA13" s="448"/>
      <c r="AB13" s="448"/>
      <c r="AE13" s="1"/>
      <c r="AF13" s="1"/>
      <c r="AG13" s="1"/>
      <c r="AH13" s="1"/>
      <c r="AI13" s="1"/>
      <c r="AJ13" s="1"/>
      <c r="AK13" s="1"/>
    </row>
    <row r="14" spans="1:37" ht="15.75" hidden="1" x14ac:dyDescent="0.25">
      <c r="A14" s="2455" t="s">
        <v>305</v>
      </c>
      <c r="B14" s="2456"/>
      <c r="C14" s="2457">
        <f>C38</f>
        <v>0</v>
      </c>
      <c r="D14" s="2458">
        <f t="shared" ref="D14:O14" si="0">D38</f>
        <v>0</v>
      </c>
      <c r="E14" s="2458">
        <f t="shared" si="0"/>
        <v>0</v>
      </c>
      <c r="F14" s="2458">
        <f t="shared" si="0"/>
        <v>0</v>
      </c>
      <c r="G14" s="2458">
        <f t="shared" si="0"/>
        <v>0</v>
      </c>
      <c r="H14" s="2458">
        <f t="shared" si="0"/>
        <v>0</v>
      </c>
      <c r="I14" s="2458">
        <f t="shared" si="0"/>
        <v>0</v>
      </c>
      <c r="J14" s="2458">
        <f t="shared" si="0"/>
        <v>0</v>
      </c>
      <c r="K14" s="2458">
        <f t="shared" si="0"/>
        <v>0</v>
      </c>
      <c r="L14" s="2458">
        <f t="shared" si="0"/>
        <v>0</v>
      </c>
      <c r="M14" s="2458">
        <f t="shared" si="0"/>
        <v>0</v>
      </c>
      <c r="N14" s="2458">
        <f t="shared" si="0"/>
        <v>0</v>
      </c>
      <c r="O14" s="2459">
        <f t="shared" si="0"/>
        <v>0</v>
      </c>
      <c r="P14" s="449"/>
      <c r="Q14" s="446"/>
      <c r="R14" s="442"/>
      <c r="S14" s="54"/>
      <c r="T14" s="54"/>
      <c r="U14" s="54"/>
      <c r="V14" s="54"/>
      <c r="W14" s="447"/>
      <c r="X14" s="447"/>
      <c r="Y14" s="447"/>
      <c r="Z14" s="447"/>
      <c r="AA14" s="448"/>
      <c r="AB14" s="448"/>
      <c r="AE14" s="1"/>
      <c r="AF14" s="1"/>
      <c r="AG14" s="1"/>
      <c r="AH14" s="1"/>
      <c r="AI14" s="1"/>
      <c r="AJ14" s="1"/>
      <c r="AK14" s="1"/>
    </row>
    <row r="15" spans="1:37" ht="27.75" customHeight="1" thickBot="1" x14ac:dyDescent="0.3">
      <c r="A15" s="2269" t="s">
        <v>82</v>
      </c>
      <c r="B15" s="2466">
        <f>SUM(B8:B14)</f>
        <v>0</v>
      </c>
      <c r="C15" s="2475">
        <f>C13+C14</f>
        <v>0</v>
      </c>
      <c r="D15" s="2476">
        <f t="shared" ref="D15:O15" si="1">D13+D14</f>
        <v>0</v>
      </c>
      <c r="E15" s="2476">
        <f t="shared" si="1"/>
        <v>0</v>
      </c>
      <c r="F15" s="2476">
        <f t="shared" si="1"/>
        <v>0</v>
      </c>
      <c r="G15" s="2476">
        <f t="shared" si="1"/>
        <v>0</v>
      </c>
      <c r="H15" s="2476">
        <f t="shared" si="1"/>
        <v>0</v>
      </c>
      <c r="I15" s="2476">
        <f t="shared" si="1"/>
        <v>0</v>
      </c>
      <c r="J15" s="2476">
        <f t="shared" si="1"/>
        <v>0</v>
      </c>
      <c r="K15" s="2476">
        <f t="shared" si="1"/>
        <v>0</v>
      </c>
      <c r="L15" s="2476">
        <f t="shared" si="1"/>
        <v>0</v>
      </c>
      <c r="M15" s="2476">
        <f t="shared" si="1"/>
        <v>0</v>
      </c>
      <c r="N15" s="2476">
        <f t="shared" si="1"/>
        <v>0</v>
      </c>
      <c r="O15" s="2477">
        <f t="shared" si="1"/>
        <v>0</v>
      </c>
      <c r="P15" s="445"/>
      <c r="Q15" s="446"/>
      <c r="R15" s="442"/>
      <c r="S15" s="54"/>
      <c r="T15" s="54"/>
      <c r="U15" s="54"/>
      <c r="V15" s="54"/>
      <c r="W15" s="447"/>
      <c r="X15" s="447"/>
      <c r="Y15" s="447"/>
      <c r="Z15" s="447"/>
      <c r="AA15" s="448"/>
      <c r="AB15" s="448"/>
      <c r="AE15" s="1"/>
      <c r="AF15" s="1"/>
      <c r="AG15" s="1"/>
      <c r="AH15" s="1"/>
      <c r="AI15" s="1"/>
      <c r="AJ15" s="1"/>
      <c r="AK15" s="1"/>
    </row>
    <row r="16" spans="1:37" x14ac:dyDescent="0.2">
      <c r="A16" s="451"/>
      <c r="B16" s="452"/>
      <c r="C16" s="453"/>
      <c r="D16" s="453"/>
      <c r="E16" s="453"/>
      <c r="F16" s="453"/>
      <c r="G16" s="453"/>
      <c r="H16" s="453"/>
      <c r="I16" s="453"/>
      <c r="J16" s="453"/>
      <c r="K16" s="453"/>
      <c r="L16" s="453"/>
      <c r="M16" s="453"/>
      <c r="N16" s="453"/>
      <c r="O16" s="453"/>
      <c r="P16" s="454"/>
      <c r="Q16" s="1"/>
      <c r="R16" s="442"/>
      <c r="S16" s="54"/>
      <c r="T16" s="54"/>
      <c r="U16" s="5"/>
      <c r="V16" s="5"/>
      <c r="W16" s="1"/>
      <c r="X16" s="1"/>
      <c r="Y16" s="1"/>
      <c r="Z16" s="1"/>
      <c r="AA16" s="1"/>
      <c r="AB16" s="1"/>
      <c r="AC16" s="1"/>
      <c r="AD16" s="1"/>
      <c r="AE16" s="1"/>
      <c r="AF16" s="1"/>
      <c r="AG16" s="1"/>
      <c r="AH16" s="1"/>
      <c r="AI16" s="1"/>
      <c r="AJ16" s="1"/>
      <c r="AK16" s="1"/>
    </row>
    <row r="17" spans="1:37" ht="15.75" thickBot="1" x14ac:dyDescent="0.25">
      <c r="A17" s="455"/>
      <c r="B17" s="456"/>
      <c r="C17" s="456"/>
      <c r="D17" s="456"/>
      <c r="E17" s="456"/>
      <c r="F17" s="456"/>
      <c r="G17" s="456"/>
      <c r="H17" s="456"/>
      <c r="I17" s="456"/>
      <c r="J17" s="456"/>
      <c r="K17" s="456"/>
      <c r="L17" s="456"/>
      <c r="M17" s="456"/>
      <c r="N17" s="456"/>
      <c r="O17" s="456"/>
      <c r="P17" s="457"/>
      <c r="Q17" s="1"/>
      <c r="R17" s="442"/>
      <c r="S17" s="54"/>
      <c r="T17" s="54"/>
      <c r="U17" s="54"/>
      <c r="V17" s="54"/>
      <c r="W17" s="447"/>
      <c r="X17" s="447"/>
      <c r="Y17" s="447"/>
      <c r="Z17" s="447"/>
      <c r="AA17" s="447"/>
      <c r="AB17" s="1"/>
      <c r="AC17" s="1"/>
      <c r="AD17" s="1"/>
      <c r="AE17" s="1"/>
      <c r="AF17" s="1"/>
      <c r="AG17" s="1"/>
      <c r="AH17" s="1"/>
      <c r="AI17" s="1"/>
      <c r="AJ17" s="1"/>
      <c r="AK17" s="1"/>
    </row>
    <row r="18" spans="1:37" ht="15.75" thickBot="1" x14ac:dyDescent="0.25">
      <c r="A18" s="2999" t="s">
        <v>1050</v>
      </c>
      <c r="B18" s="3000"/>
      <c r="C18" s="3000"/>
      <c r="D18" s="3000"/>
      <c r="E18" s="3000"/>
      <c r="F18" s="3000"/>
      <c r="G18" s="3000"/>
      <c r="H18" s="3000"/>
      <c r="I18" s="3000"/>
      <c r="J18" s="3000"/>
      <c r="K18" s="3000"/>
      <c r="L18" s="3000"/>
      <c r="M18" s="3000"/>
      <c r="N18" s="3001"/>
      <c r="O18" s="459"/>
      <c r="P18" s="458"/>
      <c r="Q18" s="5"/>
      <c r="R18" s="442"/>
      <c r="S18" s="5"/>
      <c r="T18" s="5"/>
      <c r="U18" s="5"/>
      <c r="V18" s="5"/>
      <c r="W18" s="1"/>
      <c r="X18" s="1"/>
      <c r="Y18" s="1"/>
      <c r="Z18" s="1"/>
      <c r="AA18" s="1"/>
      <c r="AB18" s="1"/>
      <c r="AC18" s="1"/>
      <c r="AD18" s="1"/>
      <c r="AE18" s="1"/>
      <c r="AF18" s="1"/>
      <c r="AG18" s="1"/>
      <c r="AH18" s="1"/>
      <c r="AI18" s="1"/>
      <c r="AJ18" s="1"/>
      <c r="AK18" s="1"/>
    </row>
    <row r="19" spans="1:37" x14ac:dyDescent="0.2">
      <c r="A19" s="3002"/>
      <c r="B19" s="3003"/>
      <c r="C19" s="3003"/>
      <c r="D19" s="3003"/>
      <c r="E19" s="3003"/>
      <c r="F19" s="3003"/>
      <c r="G19" s="3003"/>
      <c r="H19" s="3003"/>
      <c r="I19" s="3003"/>
      <c r="J19" s="3003"/>
      <c r="K19" s="3003"/>
      <c r="L19" s="3003"/>
      <c r="M19" s="3003"/>
      <c r="N19" s="3004"/>
      <c r="O19" s="41"/>
      <c r="P19" s="172"/>
      <c r="Q19" s="1"/>
      <c r="R19" s="442"/>
      <c r="S19" s="5"/>
      <c r="T19" s="5"/>
      <c r="U19" s="5"/>
      <c r="V19" s="5"/>
      <c r="W19" s="1"/>
      <c r="X19" s="1"/>
      <c r="Y19" s="1"/>
      <c r="Z19" s="1"/>
      <c r="AA19" s="1"/>
      <c r="AB19" s="1"/>
      <c r="AC19" s="1"/>
      <c r="AD19" s="1"/>
      <c r="AE19" s="1"/>
      <c r="AF19" s="1"/>
      <c r="AG19" s="1"/>
      <c r="AH19" s="1"/>
      <c r="AI19" s="1"/>
      <c r="AJ19" s="1"/>
      <c r="AK19" s="1"/>
    </row>
    <row r="20" spans="1:37" x14ac:dyDescent="0.2">
      <c r="A20" s="2793"/>
      <c r="B20" s="2794"/>
      <c r="C20" s="2794"/>
      <c r="D20" s="2794"/>
      <c r="E20" s="2794"/>
      <c r="F20" s="2794"/>
      <c r="G20" s="2794"/>
      <c r="H20" s="2794"/>
      <c r="I20" s="2794"/>
      <c r="J20" s="2794"/>
      <c r="K20" s="2794"/>
      <c r="L20" s="2794"/>
      <c r="M20" s="2794"/>
      <c r="N20" s="2795"/>
      <c r="O20" s="41"/>
      <c r="P20" s="172"/>
      <c r="Q20" s="1"/>
      <c r="R20" s="442"/>
      <c r="S20" s="5"/>
      <c r="T20" s="5"/>
      <c r="U20" s="5"/>
      <c r="V20" s="5"/>
      <c r="W20" s="1"/>
      <c r="X20" s="1"/>
      <c r="Y20" s="1"/>
      <c r="Z20" s="1"/>
      <c r="AA20" s="1"/>
      <c r="AB20" s="1"/>
      <c r="AC20" s="1"/>
      <c r="AD20" s="1"/>
      <c r="AE20" s="1"/>
      <c r="AF20" s="1"/>
      <c r="AG20" s="1"/>
      <c r="AH20" s="1"/>
      <c r="AI20" s="1"/>
      <c r="AJ20" s="1"/>
      <c r="AK20" s="1"/>
    </row>
    <row r="21" spans="1:37" x14ac:dyDescent="0.2">
      <c r="A21" s="2793"/>
      <c r="B21" s="2794"/>
      <c r="C21" s="2794"/>
      <c r="D21" s="2794"/>
      <c r="E21" s="2794"/>
      <c r="F21" s="2794"/>
      <c r="G21" s="2794"/>
      <c r="H21" s="2794"/>
      <c r="I21" s="2794"/>
      <c r="J21" s="2794"/>
      <c r="K21" s="2794"/>
      <c r="L21" s="2794"/>
      <c r="M21" s="2794"/>
      <c r="N21" s="2795"/>
      <c r="O21" s="41"/>
      <c r="P21" s="172"/>
      <c r="Q21" s="1"/>
      <c r="R21" s="442"/>
      <c r="S21" s="5"/>
      <c r="T21" s="5"/>
      <c r="U21" s="5"/>
      <c r="V21" s="5"/>
      <c r="W21" s="1"/>
      <c r="X21" s="1"/>
      <c r="Y21" s="1"/>
      <c r="Z21" s="1"/>
      <c r="AA21" s="1"/>
      <c r="AB21" s="1"/>
      <c r="AC21" s="1"/>
      <c r="AD21" s="1"/>
      <c r="AE21" s="1"/>
      <c r="AF21" s="1"/>
      <c r="AG21" s="1"/>
      <c r="AH21" s="1"/>
      <c r="AI21" s="1"/>
      <c r="AJ21" s="1"/>
      <c r="AK21" s="1"/>
    </row>
    <row r="22" spans="1:37" x14ac:dyDescent="0.2">
      <c r="A22" s="2793"/>
      <c r="B22" s="2794"/>
      <c r="C22" s="2794"/>
      <c r="D22" s="2794"/>
      <c r="E22" s="2794"/>
      <c r="F22" s="2794"/>
      <c r="G22" s="2794"/>
      <c r="H22" s="2794"/>
      <c r="I22" s="2794"/>
      <c r="J22" s="2794"/>
      <c r="K22" s="2794"/>
      <c r="L22" s="2794"/>
      <c r="M22" s="2794"/>
      <c r="N22" s="2795"/>
      <c r="O22" s="41"/>
      <c r="P22" s="172"/>
      <c r="Q22" s="1"/>
      <c r="R22" s="442"/>
      <c r="S22" s="5"/>
      <c r="T22" s="5"/>
      <c r="U22" s="5"/>
      <c r="V22" s="5"/>
      <c r="W22" s="1"/>
      <c r="X22" s="1"/>
      <c r="Y22" s="1"/>
      <c r="Z22" s="1"/>
      <c r="AA22" s="1"/>
      <c r="AB22" s="1"/>
      <c r="AC22" s="1"/>
      <c r="AD22" s="1"/>
      <c r="AE22" s="1"/>
      <c r="AF22" s="1"/>
      <c r="AG22" s="1"/>
      <c r="AH22" s="1"/>
      <c r="AI22" s="1"/>
      <c r="AJ22" s="1"/>
      <c r="AK22" s="1"/>
    </row>
    <row r="23" spans="1:37" x14ac:dyDescent="0.2">
      <c r="A23" s="2793"/>
      <c r="B23" s="2794"/>
      <c r="C23" s="2794"/>
      <c r="D23" s="2794"/>
      <c r="E23" s="2794"/>
      <c r="F23" s="2794"/>
      <c r="G23" s="2794"/>
      <c r="H23" s="2794"/>
      <c r="I23" s="2794"/>
      <c r="J23" s="2794"/>
      <c r="K23" s="2794"/>
      <c r="L23" s="2794"/>
      <c r="M23" s="2794"/>
      <c r="N23" s="2795"/>
      <c r="O23" s="41"/>
      <c r="P23" s="172"/>
      <c r="Q23" s="1"/>
      <c r="R23" s="442"/>
      <c r="S23" s="5"/>
      <c r="T23" s="5"/>
      <c r="U23" s="5"/>
      <c r="V23" s="5"/>
      <c r="W23" s="1"/>
      <c r="X23" s="1"/>
      <c r="Y23" s="1"/>
      <c r="Z23" s="1"/>
      <c r="AA23" s="1"/>
      <c r="AB23" s="1"/>
      <c r="AC23" s="1"/>
      <c r="AD23" s="1"/>
      <c r="AE23" s="1"/>
      <c r="AF23" s="1"/>
      <c r="AG23" s="1"/>
      <c r="AH23" s="1"/>
      <c r="AI23" s="1"/>
      <c r="AJ23" s="1"/>
      <c r="AK23" s="1"/>
    </row>
    <row r="24" spans="1:37" ht="15.75" thickBot="1" x14ac:dyDescent="0.25">
      <c r="A24" s="2796"/>
      <c r="B24" s="2797"/>
      <c r="C24" s="2797"/>
      <c r="D24" s="2797"/>
      <c r="E24" s="2797"/>
      <c r="F24" s="2797"/>
      <c r="G24" s="2797"/>
      <c r="H24" s="2797"/>
      <c r="I24" s="2797"/>
      <c r="J24" s="2797"/>
      <c r="K24" s="2797"/>
      <c r="L24" s="2797"/>
      <c r="M24" s="2797"/>
      <c r="N24" s="2798"/>
      <c r="O24" s="41"/>
      <c r="P24" s="172"/>
      <c r="Q24" s="1"/>
      <c r="R24" s="442"/>
      <c r="S24" s="1"/>
      <c r="T24" s="1"/>
      <c r="U24" s="1"/>
      <c r="V24" s="1"/>
      <c r="W24" s="1"/>
      <c r="X24" s="1"/>
      <c r="Y24" s="1"/>
      <c r="Z24" s="1"/>
      <c r="AA24" s="1"/>
      <c r="AB24" s="1"/>
      <c r="AC24" s="1"/>
      <c r="AD24" s="1"/>
      <c r="AE24" s="1"/>
      <c r="AF24" s="1"/>
      <c r="AG24" s="1"/>
      <c r="AH24" s="1"/>
      <c r="AI24" s="1"/>
      <c r="AJ24" s="1"/>
      <c r="AK24" s="1"/>
    </row>
    <row r="25" spans="1:37" hidden="1" x14ac:dyDescent="0.2">
      <c r="A25" s="41"/>
      <c r="B25" s="41"/>
      <c r="C25" s="41"/>
      <c r="D25" s="41"/>
      <c r="E25" s="41"/>
      <c r="F25" s="41"/>
      <c r="G25" s="41"/>
      <c r="H25" s="41"/>
      <c r="I25" s="41"/>
      <c r="J25" s="41"/>
      <c r="K25" s="41"/>
      <c r="L25" s="41"/>
      <c r="M25" s="41"/>
      <c r="N25" s="41"/>
      <c r="O25" s="41"/>
      <c r="P25" s="41"/>
      <c r="Q25" s="5"/>
      <c r="R25" s="1110"/>
      <c r="S25" s="1"/>
      <c r="T25" s="1"/>
      <c r="U25" s="1"/>
      <c r="V25" s="1"/>
      <c r="W25" s="1"/>
      <c r="X25" s="1"/>
      <c r="Y25" s="1"/>
      <c r="Z25" s="1"/>
      <c r="AA25" s="1"/>
      <c r="AB25" s="1"/>
      <c r="AC25" s="1"/>
      <c r="AD25" s="1"/>
      <c r="AE25" s="1"/>
      <c r="AF25" s="1"/>
      <c r="AG25" s="1"/>
      <c r="AH25" s="1"/>
      <c r="AI25" s="1"/>
      <c r="AJ25" s="1"/>
      <c r="AK25" s="1"/>
    </row>
    <row r="26" spans="1:37" hidden="1" x14ac:dyDescent="0.2">
      <c r="A26" s="5"/>
      <c r="B26" s="5"/>
      <c r="C26" s="5"/>
      <c r="D26" s="5"/>
      <c r="E26" s="5"/>
      <c r="F26" s="5"/>
      <c r="G26" s="5"/>
      <c r="H26" s="5"/>
      <c r="I26" s="5"/>
      <c r="J26" s="5"/>
      <c r="K26" s="5"/>
      <c r="L26" s="5"/>
      <c r="M26" s="5"/>
      <c r="N26" s="5"/>
      <c r="O26" s="5"/>
      <c r="P26" s="5"/>
      <c r="Q26" s="5"/>
      <c r="R26" s="1110"/>
      <c r="S26" s="1"/>
      <c r="T26" s="1"/>
      <c r="U26" s="1"/>
      <c r="V26" s="1"/>
      <c r="W26" s="1"/>
      <c r="X26" s="1"/>
      <c r="Y26" s="1"/>
      <c r="Z26" s="1"/>
      <c r="AA26" s="1"/>
      <c r="AB26" s="1"/>
      <c r="AC26" s="1"/>
      <c r="AD26" s="1"/>
      <c r="AE26" s="1"/>
      <c r="AF26" s="1"/>
      <c r="AG26" s="1"/>
      <c r="AH26" s="1"/>
      <c r="AI26" s="1"/>
      <c r="AJ26" s="1"/>
      <c r="AK26" s="1"/>
    </row>
    <row r="27" spans="1:37" hidden="1" x14ac:dyDescent="0.2">
      <c r="A27" s="5"/>
      <c r="B27" s="5"/>
      <c r="C27" s="5"/>
      <c r="D27" s="5"/>
      <c r="E27" s="5"/>
      <c r="F27" s="5"/>
      <c r="G27" s="5"/>
      <c r="H27" s="5"/>
      <c r="I27" s="5"/>
      <c r="J27" s="5"/>
      <c r="K27" s="5"/>
      <c r="L27" s="5"/>
      <c r="M27" s="5"/>
      <c r="N27" s="5"/>
      <c r="O27" s="5"/>
      <c r="P27" s="5"/>
      <c r="Q27" s="5"/>
      <c r="R27" s="1110"/>
      <c r="S27" s="1"/>
      <c r="T27" s="1"/>
      <c r="U27" s="1"/>
      <c r="V27" s="1"/>
      <c r="W27" s="1"/>
      <c r="X27" s="1"/>
      <c r="Y27" s="1"/>
      <c r="Z27" s="1"/>
      <c r="AA27" s="1"/>
      <c r="AB27" s="1"/>
      <c r="AC27" s="1"/>
      <c r="AD27" s="1"/>
      <c r="AE27" s="1"/>
      <c r="AF27" s="1"/>
      <c r="AG27" s="1"/>
      <c r="AH27" s="1"/>
      <c r="AI27" s="1"/>
      <c r="AJ27" s="1"/>
      <c r="AK27" s="1"/>
    </row>
    <row r="28" spans="1:37" hidden="1" x14ac:dyDescent="0.2">
      <c r="A28" s="5"/>
      <c r="B28" s="5"/>
      <c r="C28" s="5"/>
      <c r="D28" s="5"/>
      <c r="E28" s="5"/>
      <c r="F28" s="5"/>
      <c r="G28" s="5"/>
      <c r="H28" s="5"/>
      <c r="I28" s="5"/>
      <c r="J28" s="5"/>
      <c r="K28" s="5"/>
      <c r="L28" s="5"/>
      <c r="M28" s="5"/>
      <c r="N28" s="5"/>
      <c r="O28" s="5"/>
      <c r="P28" s="5"/>
      <c r="Q28" s="5"/>
      <c r="R28" s="1110"/>
      <c r="S28" s="1"/>
      <c r="T28" s="1"/>
      <c r="U28" s="1"/>
      <c r="V28" s="1"/>
      <c r="W28" s="1"/>
      <c r="X28" s="1"/>
      <c r="Y28" s="1"/>
      <c r="Z28" s="1"/>
      <c r="AA28" s="1"/>
      <c r="AB28" s="1"/>
      <c r="AC28" s="1"/>
      <c r="AD28" s="1"/>
      <c r="AE28" s="1"/>
      <c r="AF28" s="1"/>
      <c r="AG28" s="1"/>
      <c r="AH28" s="1"/>
      <c r="AI28" s="1"/>
      <c r="AJ28" s="1"/>
      <c r="AK28" s="1"/>
    </row>
    <row r="29" spans="1:37" hidden="1" x14ac:dyDescent="0.2">
      <c r="A29" s="5"/>
      <c r="B29" s="5"/>
      <c r="C29" s="5"/>
      <c r="D29" s="5"/>
      <c r="E29" s="5"/>
      <c r="F29" s="5"/>
      <c r="G29" s="5"/>
      <c r="H29" s="5"/>
      <c r="I29" s="5"/>
      <c r="J29" s="5"/>
      <c r="K29" s="5"/>
      <c r="L29" s="5"/>
      <c r="M29" s="5"/>
      <c r="N29" s="5"/>
      <c r="O29" s="5"/>
      <c r="P29" s="5"/>
      <c r="Q29" s="5"/>
      <c r="R29" s="1110"/>
      <c r="S29" s="1"/>
      <c r="T29" s="1"/>
      <c r="U29" s="1"/>
      <c r="V29" s="1"/>
      <c r="W29" s="1"/>
      <c r="X29" s="1"/>
      <c r="Y29" s="1"/>
      <c r="Z29" s="1"/>
      <c r="AA29" s="1"/>
      <c r="AB29" s="1"/>
      <c r="AC29" s="1"/>
      <c r="AD29" s="1"/>
      <c r="AE29" s="1"/>
      <c r="AF29" s="1"/>
      <c r="AG29" s="1"/>
      <c r="AH29" s="1"/>
      <c r="AI29" s="1"/>
      <c r="AJ29" s="1"/>
      <c r="AK29" s="1"/>
    </row>
    <row r="30" spans="1:37" hidden="1" x14ac:dyDescent="0.2">
      <c r="A30" s="5"/>
      <c r="B30" s="5"/>
      <c r="C30" s="5"/>
      <c r="D30" s="5"/>
      <c r="E30" s="5"/>
      <c r="F30" s="5"/>
      <c r="G30" s="5"/>
      <c r="H30" s="5"/>
      <c r="I30" s="5"/>
      <c r="J30" s="5"/>
      <c r="K30" s="5"/>
      <c r="L30" s="5"/>
      <c r="M30" s="5"/>
      <c r="N30" s="5"/>
      <c r="O30" s="5"/>
      <c r="P30" s="5"/>
      <c r="Q30" s="5"/>
      <c r="R30" s="1110"/>
      <c r="S30" s="1"/>
      <c r="T30" s="1"/>
      <c r="U30" s="1"/>
      <c r="V30" s="1"/>
      <c r="W30" s="1"/>
      <c r="X30" s="1"/>
      <c r="Y30" s="1"/>
      <c r="Z30" s="1"/>
      <c r="AA30" s="1"/>
      <c r="AB30" s="1"/>
      <c r="AC30" s="1"/>
      <c r="AD30" s="1"/>
      <c r="AE30" s="1"/>
      <c r="AF30" s="1"/>
      <c r="AG30" s="1"/>
      <c r="AH30" s="1"/>
      <c r="AI30" s="1"/>
      <c r="AJ30" s="1"/>
      <c r="AK30" s="1"/>
    </row>
    <row r="31" spans="1:37" hidden="1" x14ac:dyDescent="0.2">
      <c r="A31" s="15"/>
      <c r="B31" s="15"/>
      <c r="C31" s="15"/>
      <c r="D31" s="15"/>
      <c r="E31" s="15"/>
      <c r="F31" s="15"/>
      <c r="G31" s="15"/>
      <c r="H31" s="15"/>
      <c r="I31" s="15"/>
      <c r="J31" s="15"/>
      <c r="K31" s="15"/>
      <c r="L31" s="15"/>
      <c r="M31" s="15"/>
      <c r="N31" s="15"/>
      <c r="O31" s="15"/>
      <c r="P31" s="15"/>
      <c r="Q31" s="15"/>
      <c r="R31" s="1110"/>
      <c r="S31" s="1"/>
      <c r="T31" s="1"/>
      <c r="U31" s="1"/>
      <c r="V31" s="1"/>
      <c r="W31" s="1"/>
      <c r="X31" s="1"/>
      <c r="Y31" s="1"/>
      <c r="Z31" s="1"/>
    </row>
    <row r="32" spans="1:37" hidden="1" x14ac:dyDescent="0.2">
      <c r="A32" s="15"/>
      <c r="B32" s="15">
        <f t="shared" ref="B32:B37" si="2">A8</f>
        <v>0</v>
      </c>
      <c r="C32" s="2681">
        <f>$B8*C8/100</f>
        <v>0</v>
      </c>
      <c r="D32" s="2681">
        <f t="shared" ref="D32:O32" si="3">$B8*D8/100</f>
        <v>0</v>
      </c>
      <c r="E32" s="2681">
        <f t="shared" si="3"/>
        <v>0</v>
      </c>
      <c r="F32" s="2681">
        <f t="shared" si="3"/>
        <v>0</v>
      </c>
      <c r="G32" s="2681">
        <f t="shared" si="3"/>
        <v>0</v>
      </c>
      <c r="H32" s="2681">
        <f t="shared" si="3"/>
        <v>0</v>
      </c>
      <c r="I32" s="2681">
        <f t="shared" si="3"/>
        <v>0</v>
      </c>
      <c r="J32" s="2681">
        <f t="shared" si="3"/>
        <v>0</v>
      </c>
      <c r="K32" s="2681">
        <f t="shared" si="3"/>
        <v>0</v>
      </c>
      <c r="L32" s="2681">
        <f t="shared" si="3"/>
        <v>0</v>
      </c>
      <c r="M32" s="2681">
        <f t="shared" si="3"/>
        <v>0</v>
      </c>
      <c r="N32" s="2681">
        <f t="shared" ref="N32" si="4">$B8*N8/100</f>
        <v>0</v>
      </c>
      <c r="O32" s="2681">
        <f t="shared" si="3"/>
        <v>0</v>
      </c>
      <c r="P32" s="15"/>
      <c r="Q32" s="15"/>
      <c r="R32" s="1110"/>
      <c r="S32" s="1"/>
      <c r="T32" s="1"/>
      <c r="U32" s="1"/>
      <c r="V32" s="1"/>
      <c r="W32" s="1"/>
      <c r="X32" s="1"/>
      <c r="Y32" s="1"/>
      <c r="Z32" s="1"/>
    </row>
    <row r="33" spans="1:40" hidden="1" x14ac:dyDescent="0.2">
      <c r="A33" s="15"/>
      <c r="B33" s="15">
        <f t="shared" si="2"/>
        <v>0</v>
      </c>
      <c r="C33" s="2681">
        <f>$B9*C9/100</f>
        <v>0</v>
      </c>
      <c r="D33" s="2681">
        <f t="shared" ref="D33:O33" si="5">$B9*D9/100</f>
        <v>0</v>
      </c>
      <c r="E33" s="2681">
        <f t="shared" si="5"/>
        <v>0</v>
      </c>
      <c r="F33" s="2681">
        <f t="shared" si="5"/>
        <v>0</v>
      </c>
      <c r="G33" s="2681">
        <f t="shared" si="5"/>
        <v>0</v>
      </c>
      <c r="H33" s="2681">
        <f t="shared" si="5"/>
        <v>0</v>
      </c>
      <c r="I33" s="2681">
        <f t="shared" si="5"/>
        <v>0</v>
      </c>
      <c r="J33" s="2681">
        <f t="shared" si="5"/>
        <v>0</v>
      </c>
      <c r="K33" s="2681">
        <f t="shared" si="5"/>
        <v>0</v>
      </c>
      <c r="L33" s="2681">
        <f t="shared" si="5"/>
        <v>0</v>
      </c>
      <c r="M33" s="2681">
        <f t="shared" si="5"/>
        <v>0</v>
      </c>
      <c r="N33" s="2681">
        <f t="shared" ref="N33" si="6">$B9*N9/100</f>
        <v>0</v>
      </c>
      <c r="O33" s="2681">
        <f t="shared" si="5"/>
        <v>0</v>
      </c>
      <c r="P33" s="15"/>
      <c r="Q33" s="15"/>
      <c r="R33" s="1110"/>
      <c r="S33" s="1"/>
      <c r="T33" s="1"/>
      <c r="U33" s="1"/>
      <c r="V33" s="1"/>
      <c r="W33" s="1"/>
      <c r="X33" s="1"/>
      <c r="Y33" s="1"/>
      <c r="Z33" s="1"/>
    </row>
    <row r="34" spans="1:40" hidden="1" x14ac:dyDescent="0.2">
      <c r="A34" s="15"/>
      <c r="B34" s="15">
        <f t="shared" si="2"/>
        <v>0</v>
      </c>
      <c r="C34" s="2681">
        <f>$B10*C10/100</f>
        <v>0</v>
      </c>
      <c r="D34" s="2681">
        <f t="shared" ref="D34:O34" si="7">$B10*D10/100</f>
        <v>0</v>
      </c>
      <c r="E34" s="2681">
        <f t="shared" si="7"/>
        <v>0</v>
      </c>
      <c r="F34" s="2681">
        <f t="shared" si="7"/>
        <v>0</v>
      </c>
      <c r="G34" s="2681">
        <f>$B10*G10/100</f>
        <v>0</v>
      </c>
      <c r="H34" s="2681">
        <f t="shared" si="7"/>
        <v>0</v>
      </c>
      <c r="I34" s="2681">
        <f t="shared" si="7"/>
        <v>0</v>
      </c>
      <c r="J34" s="2681">
        <f t="shared" si="7"/>
        <v>0</v>
      </c>
      <c r="K34" s="2681">
        <f t="shared" si="7"/>
        <v>0</v>
      </c>
      <c r="L34" s="2681">
        <f t="shared" si="7"/>
        <v>0</v>
      </c>
      <c r="M34" s="2681">
        <f t="shared" si="7"/>
        <v>0</v>
      </c>
      <c r="N34" s="2681">
        <f t="shared" ref="N34" si="8">$B10*N10/100</f>
        <v>0</v>
      </c>
      <c r="O34" s="2681">
        <f t="shared" si="7"/>
        <v>0</v>
      </c>
      <c r="P34" s="15"/>
      <c r="Q34" s="15"/>
      <c r="R34" s="1110"/>
      <c r="S34" s="1"/>
      <c r="T34" s="1"/>
      <c r="U34" s="1"/>
      <c r="V34" s="1"/>
      <c r="W34" s="1"/>
      <c r="X34" s="1"/>
      <c r="Y34" s="1"/>
      <c r="Z34" s="1"/>
    </row>
    <row r="35" spans="1:40" hidden="1" x14ac:dyDescent="0.2">
      <c r="A35" s="15"/>
      <c r="B35" s="15" t="str">
        <f t="shared" si="2"/>
        <v>Conservação
 de máq. e equipamentos</v>
      </c>
      <c r="C35" s="2681">
        <f>$B11*C11/100</f>
        <v>0</v>
      </c>
      <c r="D35" s="2681">
        <f t="shared" ref="D35:O35" si="9">$B11*D11/100</f>
        <v>0</v>
      </c>
      <c r="E35" s="2681">
        <f t="shared" si="9"/>
        <v>0</v>
      </c>
      <c r="F35" s="2681">
        <f t="shared" si="9"/>
        <v>0</v>
      </c>
      <c r="G35" s="2681">
        <f t="shared" si="9"/>
        <v>0</v>
      </c>
      <c r="H35" s="2681">
        <f t="shared" si="9"/>
        <v>0</v>
      </c>
      <c r="I35" s="2681">
        <f t="shared" si="9"/>
        <v>0</v>
      </c>
      <c r="J35" s="2681">
        <f t="shared" si="9"/>
        <v>0</v>
      </c>
      <c r="K35" s="2681">
        <f t="shared" si="9"/>
        <v>0</v>
      </c>
      <c r="L35" s="2681">
        <f t="shared" si="9"/>
        <v>0</v>
      </c>
      <c r="M35" s="2681">
        <f t="shared" si="9"/>
        <v>0</v>
      </c>
      <c r="N35" s="2681">
        <f t="shared" ref="N35" si="10">$B11*N11/100</f>
        <v>0</v>
      </c>
      <c r="O35" s="2681">
        <f t="shared" si="9"/>
        <v>0</v>
      </c>
      <c r="P35" s="15"/>
      <c r="Q35" s="15"/>
      <c r="R35" s="1110"/>
      <c r="S35" s="1"/>
      <c r="T35" s="1"/>
      <c r="U35" s="1"/>
      <c r="V35" s="1"/>
      <c r="W35" s="1"/>
      <c r="X35" s="1"/>
      <c r="Y35" s="1"/>
      <c r="Z35" s="1"/>
    </row>
    <row r="36" spans="1:40" hidden="1" x14ac:dyDescent="0.2">
      <c r="A36" s="15"/>
      <c r="B36" s="15" t="str">
        <f t="shared" si="2"/>
        <v>Conservação e reparos de benfeitorias</v>
      </c>
      <c r="C36" s="2681">
        <f t="shared" ref="C36:O36" si="11">$B12*C12/100</f>
        <v>0</v>
      </c>
      <c r="D36" s="2681">
        <f t="shared" si="11"/>
        <v>0</v>
      </c>
      <c r="E36" s="2681">
        <f t="shared" si="11"/>
        <v>0</v>
      </c>
      <c r="F36" s="2681">
        <f t="shared" si="11"/>
        <v>0</v>
      </c>
      <c r="G36" s="2681">
        <f t="shared" si="11"/>
        <v>0</v>
      </c>
      <c r="H36" s="2681">
        <f t="shared" si="11"/>
        <v>0</v>
      </c>
      <c r="I36" s="2681">
        <f t="shared" si="11"/>
        <v>0</v>
      </c>
      <c r="J36" s="2681">
        <f t="shared" si="11"/>
        <v>0</v>
      </c>
      <c r="K36" s="2681">
        <f t="shared" si="11"/>
        <v>0</v>
      </c>
      <c r="L36" s="2681">
        <f t="shared" si="11"/>
        <v>0</v>
      </c>
      <c r="M36" s="2681">
        <f t="shared" si="11"/>
        <v>0</v>
      </c>
      <c r="N36" s="2681">
        <f t="shared" ref="N36" si="12">$B12*N12/100</f>
        <v>0</v>
      </c>
      <c r="O36" s="2681">
        <f t="shared" si="11"/>
        <v>0</v>
      </c>
      <c r="P36" s="15"/>
      <c r="Q36" s="15"/>
      <c r="R36" s="1110"/>
      <c r="S36" s="1"/>
      <c r="T36" s="1"/>
      <c r="U36" s="1"/>
      <c r="V36" s="1"/>
      <c r="W36" s="1"/>
      <c r="X36" s="1"/>
      <c r="Y36" s="1"/>
      <c r="Z36" s="1"/>
    </row>
    <row r="37" spans="1:40" hidden="1" x14ac:dyDescent="0.2">
      <c r="A37" s="15"/>
      <c r="B37" s="15" t="str">
        <f t="shared" si="2"/>
        <v>Funrural</v>
      </c>
      <c r="C37" s="2681"/>
      <c r="D37" s="2681"/>
      <c r="E37" s="2681"/>
      <c r="F37" s="2681"/>
      <c r="G37" s="2681"/>
      <c r="H37" s="2681"/>
      <c r="I37" s="2681"/>
      <c r="J37" s="2681"/>
      <c r="K37" s="2681"/>
      <c r="L37" s="2681"/>
      <c r="M37" s="2681"/>
      <c r="N37" s="2681"/>
      <c r="O37" s="2681"/>
      <c r="P37" s="15"/>
      <c r="Q37" s="2681">
        <f>SUM(C14:O14)</f>
        <v>0</v>
      </c>
      <c r="R37" s="1110"/>
      <c r="S37" s="1"/>
      <c r="T37" s="1"/>
      <c r="U37" s="1"/>
      <c r="V37" s="1"/>
      <c r="W37" s="1"/>
      <c r="X37" s="1"/>
      <c r="Y37" s="1"/>
      <c r="Z37" s="1"/>
    </row>
    <row r="38" spans="1:40" hidden="1" x14ac:dyDescent="0.2">
      <c r="A38" s="15"/>
      <c r="B38" s="15"/>
      <c r="C38" s="2681">
        <f>SUM(C32:C37)</f>
        <v>0</v>
      </c>
      <c r="D38" s="2681">
        <f t="shared" ref="D38:O38" si="13">SUM(D32:D37)</f>
        <v>0</v>
      </c>
      <c r="E38" s="2681">
        <f t="shared" si="13"/>
        <v>0</v>
      </c>
      <c r="F38" s="2681">
        <f t="shared" si="13"/>
        <v>0</v>
      </c>
      <c r="G38" s="2681">
        <f t="shared" si="13"/>
        <v>0</v>
      </c>
      <c r="H38" s="2681">
        <f t="shared" si="13"/>
        <v>0</v>
      </c>
      <c r="I38" s="2681">
        <f t="shared" si="13"/>
        <v>0</v>
      </c>
      <c r="J38" s="2681">
        <f t="shared" si="13"/>
        <v>0</v>
      </c>
      <c r="K38" s="2681">
        <f t="shared" si="13"/>
        <v>0</v>
      </c>
      <c r="L38" s="2681">
        <f t="shared" si="13"/>
        <v>0</v>
      </c>
      <c r="M38" s="2681">
        <f t="shared" si="13"/>
        <v>0</v>
      </c>
      <c r="N38" s="2681">
        <f t="shared" ref="N38" si="14">SUM(N32:N37)</f>
        <v>0</v>
      </c>
      <c r="O38" s="2681">
        <f t="shared" si="13"/>
        <v>0</v>
      </c>
      <c r="P38" s="15"/>
      <c r="Q38" s="2682">
        <f>SUM(B8:B13)</f>
        <v>0</v>
      </c>
      <c r="R38" s="1110"/>
      <c r="S38" s="1"/>
      <c r="T38" s="1"/>
      <c r="U38" s="1"/>
      <c r="V38" s="1"/>
      <c r="W38" s="1"/>
      <c r="X38" s="1"/>
      <c r="Y38" s="1"/>
      <c r="Z38" s="1"/>
    </row>
    <row r="39" spans="1:40" hidden="1" x14ac:dyDescent="0.2">
      <c r="A39" s="15"/>
      <c r="B39" s="15"/>
      <c r="C39" s="2681"/>
      <c r="D39" s="15"/>
      <c r="E39" s="15"/>
      <c r="F39" s="15"/>
      <c r="G39" s="15"/>
      <c r="H39" s="15"/>
      <c r="I39" s="15"/>
      <c r="J39" s="15"/>
      <c r="K39" s="15"/>
      <c r="L39" s="15"/>
      <c r="M39" s="15"/>
      <c r="N39" s="15"/>
      <c r="O39" s="15"/>
      <c r="P39" s="15"/>
      <c r="Q39" s="15"/>
      <c r="R39" s="1110"/>
      <c r="S39" s="1"/>
      <c r="T39" s="1"/>
      <c r="U39" s="1"/>
      <c r="V39" s="1"/>
      <c r="W39" s="1"/>
      <c r="X39" s="1"/>
      <c r="Y39" s="1"/>
      <c r="Z39" s="1"/>
    </row>
    <row r="40" spans="1:40" hidden="1" x14ac:dyDescent="0.2">
      <c r="A40" s="15"/>
      <c r="B40" s="15"/>
      <c r="C40" s="2681"/>
      <c r="D40" s="15"/>
      <c r="E40" s="15"/>
      <c r="F40" s="15"/>
      <c r="G40" s="15"/>
      <c r="H40" s="15"/>
      <c r="I40" s="15"/>
      <c r="J40" s="15"/>
      <c r="K40" s="15"/>
      <c r="L40" s="15"/>
      <c r="M40" s="15"/>
      <c r="N40" s="15"/>
      <c r="O40" s="15"/>
      <c r="P40" s="15"/>
      <c r="Q40" s="15"/>
      <c r="R40" s="1110"/>
      <c r="S40" s="1"/>
      <c r="T40" s="1"/>
      <c r="U40" s="1"/>
      <c r="V40" s="1"/>
      <c r="W40" s="1"/>
      <c r="X40" s="1"/>
      <c r="Y40" s="1"/>
      <c r="Z40" s="1"/>
    </row>
    <row r="41" spans="1:40" hidden="1" x14ac:dyDescent="0.2">
      <c r="A41" s="15"/>
      <c r="B41" s="15"/>
      <c r="C41" s="2681"/>
      <c r="D41" s="15"/>
      <c r="E41" s="15"/>
      <c r="F41" s="15"/>
      <c r="G41" s="15"/>
      <c r="H41" s="15"/>
      <c r="I41" s="15"/>
      <c r="J41" s="15"/>
      <c r="K41" s="15"/>
      <c r="L41" s="15"/>
      <c r="M41" s="15"/>
      <c r="N41" s="15"/>
      <c r="O41" s="15"/>
      <c r="P41" s="15"/>
      <c r="Q41" s="15"/>
      <c r="R41" s="1110"/>
      <c r="S41" s="1"/>
      <c r="T41" s="1"/>
      <c r="U41" s="1"/>
      <c r="V41" s="1"/>
      <c r="W41" s="1"/>
      <c r="X41" s="1"/>
      <c r="Y41" s="1"/>
      <c r="Z41" s="1"/>
    </row>
    <row r="42" spans="1:40" hidden="1" x14ac:dyDescent="0.2">
      <c r="A42" s="15"/>
      <c r="B42" s="15"/>
      <c r="C42" s="2681"/>
      <c r="D42" s="15"/>
      <c r="E42" s="15"/>
      <c r="F42" s="15"/>
      <c r="G42" s="15"/>
      <c r="H42" s="15"/>
      <c r="I42" s="15"/>
      <c r="J42" s="15"/>
      <c r="K42" s="15"/>
      <c r="L42" s="15"/>
      <c r="M42" s="15"/>
      <c r="N42" s="15"/>
      <c r="O42" s="15"/>
      <c r="P42" s="15"/>
      <c r="Q42" s="15"/>
      <c r="R42" s="1110"/>
      <c r="S42" s="1"/>
      <c r="T42" s="1"/>
      <c r="U42" s="1"/>
      <c r="V42" s="1"/>
      <c r="W42" s="1"/>
      <c r="X42" s="1"/>
      <c r="Y42" s="1"/>
      <c r="Z42" s="1"/>
    </row>
    <row r="43" spans="1:40" hidden="1" x14ac:dyDescent="0.2">
      <c r="A43" s="15"/>
      <c r="B43" s="15"/>
      <c r="C43" s="15"/>
      <c r="D43" s="15"/>
      <c r="E43" s="15"/>
      <c r="F43" s="15"/>
      <c r="G43" s="15"/>
      <c r="H43" s="15"/>
      <c r="I43" s="15"/>
      <c r="J43" s="15"/>
      <c r="K43" s="15"/>
      <c r="L43" s="15"/>
      <c r="M43" s="15"/>
      <c r="N43" s="15"/>
      <c r="O43" s="15"/>
      <c r="P43" s="15"/>
      <c r="Q43" s="15"/>
      <c r="R43" s="1110"/>
      <c r="S43" s="1"/>
      <c r="T43" s="1"/>
      <c r="U43" s="1"/>
      <c r="V43" s="1"/>
      <c r="W43" s="1"/>
      <c r="X43" s="1"/>
      <c r="Y43" s="1"/>
      <c r="Z43" s="1"/>
    </row>
    <row r="44" spans="1:40" hidden="1" x14ac:dyDescent="0.2">
      <c r="A44" s="1110"/>
      <c r="B44" s="1110"/>
      <c r="C44" s="1110"/>
      <c r="D44" s="1110"/>
      <c r="E44" s="1110"/>
      <c r="F44" s="1110"/>
      <c r="G44" s="1110"/>
      <c r="H44" s="1110"/>
      <c r="I44" s="1110"/>
      <c r="J44" s="1110"/>
      <c r="K44" s="1110"/>
      <c r="L44" s="1110"/>
      <c r="M44" s="1110"/>
      <c r="N44" s="1110"/>
      <c r="O44" s="1110"/>
      <c r="P44" s="1110"/>
      <c r="Q44" s="1110"/>
      <c r="R44" s="1110"/>
      <c r="S44" s="1"/>
      <c r="T44" s="1"/>
      <c r="U44" s="1"/>
      <c r="V44" s="1"/>
      <c r="W44" s="1"/>
      <c r="X44" s="1"/>
      <c r="Y44" s="1"/>
      <c r="Z44" s="1"/>
    </row>
    <row r="45" spans="1:40" hidden="1" x14ac:dyDescent="0.2">
      <c r="A45" s="1110"/>
      <c r="B45" s="1110"/>
      <c r="C45" s="1110"/>
      <c r="D45" s="1110"/>
      <c r="E45" s="1110"/>
      <c r="F45" s="1110"/>
      <c r="G45" s="1110"/>
      <c r="H45" s="1110"/>
      <c r="I45" s="1110"/>
      <c r="J45" s="1110"/>
      <c r="K45" s="1110"/>
      <c r="L45" s="1110"/>
      <c r="M45" s="1110"/>
      <c r="N45" s="1110"/>
      <c r="O45" s="1110"/>
      <c r="P45" s="1110"/>
      <c r="Q45" s="1110"/>
      <c r="R45" s="1110"/>
      <c r="S45" s="1"/>
      <c r="T45" s="1"/>
      <c r="U45" s="1"/>
      <c r="V45" s="1"/>
      <c r="W45" s="1"/>
      <c r="X45" s="1"/>
      <c r="Y45" s="1"/>
      <c r="Z45" s="1"/>
    </row>
    <row r="46" spans="1:40" x14ac:dyDescent="0.2">
      <c r="A46" s="15"/>
      <c r="B46" s="5"/>
      <c r="C46" s="5"/>
      <c r="D46" s="5"/>
      <c r="E46" s="5"/>
      <c r="F46" s="5"/>
      <c r="G46" s="5"/>
      <c r="H46" s="5"/>
      <c r="I46" s="5"/>
      <c r="J46" s="5"/>
      <c r="K46" s="5"/>
      <c r="L46" s="5"/>
      <c r="M46" s="5"/>
      <c r="N46" s="5"/>
      <c r="O46" s="5"/>
      <c r="P46" s="5"/>
      <c r="Q46" s="5"/>
      <c r="R46" s="5"/>
      <c r="S46" s="1"/>
      <c r="T46" s="1"/>
      <c r="U46" s="1"/>
      <c r="V46" s="1"/>
      <c r="W46" s="1"/>
      <c r="X46" s="1"/>
      <c r="Y46" s="1"/>
      <c r="Z46" s="1"/>
    </row>
    <row r="47" spans="1:40" x14ac:dyDescent="0.2">
      <c r="A47" s="5"/>
      <c r="B47" s="5"/>
      <c r="C47" s="5"/>
      <c r="D47" s="5"/>
      <c r="E47" s="5"/>
      <c r="F47" s="5"/>
      <c r="G47" s="5"/>
      <c r="H47" s="5"/>
      <c r="I47" s="5"/>
      <c r="J47" s="5"/>
      <c r="K47" s="5"/>
      <c r="L47" s="5"/>
      <c r="M47" s="5"/>
      <c r="N47" s="5"/>
      <c r="O47" s="5"/>
      <c r="P47" s="5"/>
      <c r="Q47" s="5"/>
      <c r="R47" s="5"/>
      <c r="S47" s="1"/>
      <c r="T47" s="1"/>
      <c r="U47" s="1"/>
      <c r="V47" s="1"/>
      <c r="W47" s="1"/>
      <c r="X47" s="1"/>
      <c r="Y47" s="1"/>
      <c r="Z47" s="1"/>
      <c r="AA47" s="1"/>
      <c r="AB47" s="1"/>
      <c r="AC47" s="1"/>
      <c r="AD47" s="1"/>
      <c r="AE47" s="1"/>
      <c r="AF47" s="1"/>
      <c r="AG47" s="1"/>
      <c r="AH47" s="1"/>
      <c r="AI47" s="1"/>
      <c r="AJ47" s="1"/>
      <c r="AK47" s="1"/>
      <c r="AL47" s="1"/>
      <c r="AM47" s="1"/>
      <c r="AN47" s="1"/>
    </row>
    <row r="48" spans="1:40" x14ac:dyDescent="0.2">
      <c r="A48" s="5"/>
      <c r="B48" s="5"/>
      <c r="C48" s="5"/>
      <c r="D48" s="5"/>
      <c r="E48" s="5"/>
      <c r="F48" s="5"/>
      <c r="G48" s="5"/>
      <c r="H48" s="5"/>
      <c r="I48" s="5"/>
      <c r="J48" s="5"/>
      <c r="K48" s="5"/>
      <c r="L48" s="5"/>
      <c r="M48" s="5"/>
      <c r="N48" s="5"/>
      <c r="O48" s="5"/>
      <c r="P48" s="5"/>
      <c r="Q48" s="5"/>
      <c r="R48" s="5"/>
      <c r="S48" s="1"/>
      <c r="T48" s="1"/>
      <c r="U48" s="1"/>
      <c r="V48" s="1"/>
      <c r="W48" s="1"/>
      <c r="X48" s="1"/>
      <c r="Y48" s="1"/>
      <c r="Z48" s="1"/>
      <c r="AA48" s="1"/>
      <c r="AB48" s="1"/>
      <c r="AC48" s="1"/>
      <c r="AD48" s="1"/>
      <c r="AE48" s="1"/>
      <c r="AF48" s="1"/>
      <c r="AG48" s="1"/>
      <c r="AH48" s="1"/>
      <c r="AI48" s="1"/>
      <c r="AJ48" s="1"/>
      <c r="AK48" s="1"/>
      <c r="AL48" s="1"/>
      <c r="AM48" s="1"/>
      <c r="AN48" s="1"/>
    </row>
    <row r="49" spans="1:40" x14ac:dyDescent="0.2">
      <c r="A49" s="5"/>
      <c r="B49" s="5"/>
      <c r="C49" s="5"/>
      <c r="D49" s="5"/>
      <c r="E49" s="5"/>
      <c r="F49" s="5"/>
      <c r="G49" s="5"/>
      <c r="H49" s="5"/>
      <c r="I49" s="5"/>
      <c r="J49" s="5"/>
      <c r="K49" s="5"/>
      <c r="L49" s="5"/>
      <c r="M49" s="5"/>
      <c r="N49" s="5"/>
      <c r="O49" s="5"/>
      <c r="P49" s="5"/>
      <c r="Q49" s="5"/>
      <c r="R49" s="5"/>
      <c r="S49" s="1"/>
      <c r="T49" s="1"/>
      <c r="U49" s="1"/>
      <c r="V49" s="1"/>
      <c r="W49" s="1"/>
      <c r="X49" s="1"/>
      <c r="Y49" s="1"/>
      <c r="Z49" s="1"/>
      <c r="AA49" s="1"/>
      <c r="AB49" s="1"/>
      <c r="AC49" s="1"/>
      <c r="AD49" s="1"/>
      <c r="AE49" s="1"/>
      <c r="AF49" s="1"/>
      <c r="AG49" s="1"/>
      <c r="AH49" s="1"/>
      <c r="AI49" s="1"/>
      <c r="AJ49" s="1"/>
      <c r="AK49" s="1"/>
      <c r="AL49" s="1"/>
      <c r="AM49" s="1"/>
      <c r="AN49" s="1"/>
    </row>
    <row r="50" spans="1:40"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40"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1:40"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1:40" x14ac:dyDescent="0.2">
      <c r="A53" s="1"/>
      <c r="B53" s="1"/>
      <c r="C53" s="1"/>
      <c r="D53" s="1"/>
      <c r="E53" s="1"/>
      <c r="F53" s="1"/>
      <c r="G53" s="1"/>
      <c r="H53" s="1"/>
      <c r="I53" s="1"/>
      <c r="J53" s="447"/>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1:40" x14ac:dyDescent="0.2">
      <c r="A54" s="1"/>
      <c r="B54" s="1"/>
      <c r="C54" s="1"/>
      <c r="D54" s="1"/>
      <c r="E54" s="1"/>
      <c r="F54" s="1"/>
      <c r="G54" s="1"/>
      <c r="H54" s="1"/>
      <c r="I54" s="1"/>
      <c r="J54" s="63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1:40"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1:40"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0"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1:40"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1:40"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1:40"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1:40"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1:40"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40"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sheetData>
  <sheetProtection algorithmName="SHA-512" hashValue="XyEUc028T7+5XLXke43Or2CP3W8fHObXi71Ww6S9DboDJGRehQwb6hr7HCBVQOUDws1M/TLEEfr2MXISunOc9A==" saltValue="oPjMu+nV3K2RR1g3qDY09w==" spinCount="100000" sheet="1" objects="1" scenarios="1"/>
  <mergeCells count="7">
    <mergeCell ref="A4:M4"/>
    <mergeCell ref="C6:O6"/>
    <mergeCell ref="A18:N18"/>
    <mergeCell ref="A19:N24"/>
    <mergeCell ref="P7:Q7"/>
    <mergeCell ref="A6:A7"/>
    <mergeCell ref="B6:B7"/>
  </mergeCells>
  <phoneticPr fontId="50" type="noConversion"/>
  <dataValidations count="2">
    <dataValidation type="whole" errorStyle="warning" showInputMessage="1" showErrorMessage="1" errorTitle="ESTE VALOR DEVE SER IGUAL A 100" error="ESTE VALOR DEVEERÁ FECHAR EM 100" sqref="P8:P15">
      <formula1>100</formula1>
      <formula2>100</formula2>
    </dataValidation>
    <dataValidation errorStyle="warning" allowBlank="1" showInputMessage="1" showErrorMessage="1" errorTitle="KKKKK" error="DEV SER SEMPRE IGUAL A 100" sqref="C16 C8:O8"/>
  </dataValidations>
  <pageMargins left="0.44" right="0.23" top="0.984251969" bottom="0.984251969" header="0.49212598499999999" footer="0.49212598499999999"/>
  <pageSetup paperSize="9" scale="57" orientation="landscape" r:id="rId1"/>
  <headerFooter alignWithMargins="0">
    <oddHeader>&amp;A</oddHeader>
    <oddFooter>Página &amp;P</oddFooter>
  </headerFooter>
  <colBreaks count="1" manualBreakCount="1">
    <brk id="17" max="1048575" man="1"/>
  </col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4">
    <tabColor rgb="FFFFFF00"/>
  </sheetPr>
  <dimension ref="A1:Q63"/>
  <sheetViews>
    <sheetView showGridLines="0" zoomScaleNormal="100" workbookViewId="0">
      <selection activeCell="D41" sqref="D41"/>
    </sheetView>
  </sheetViews>
  <sheetFormatPr defaultRowHeight="12.75" x14ac:dyDescent="0.2"/>
  <cols>
    <col min="1" max="1" width="2.28515625" customWidth="1"/>
    <col min="2" max="2" width="11.7109375" customWidth="1"/>
    <col min="3" max="3" width="19.140625" style="1758" customWidth="1"/>
    <col min="4" max="4" width="15.140625" customWidth="1"/>
    <col min="5" max="5" width="4.140625" style="1758" customWidth="1"/>
    <col min="6" max="6" width="16.42578125" customWidth="1"/>
    <col min="7" max="7" width="11.7109375" customWidth="1"/>
    <col min="8" max="8" width="13.7109375" bestFit="1" customWidth="1"/>
    <col min="9" max="9" width="2.7109375" customWidth="1"/>
    <col min="10" max="10" width="1.85546875" customWidth="1"/>
    <col min="12" max="15" width="0" hidden="1" customWidth="1"/>
    <col min="16" max="16" width="10.140625" hidden="1" customWidth="1"/>
  </cols>
  <sheetData>
    <row r="1" spans="1:10" ht="26.25" customHeight="1" x14ac:dyDescent="0.2">
      <c r="A1" s="2098"/>
      <c r="B1" s="3023" t="s">
        <v>850</v>
      </c>
      <c r="C1" s="3024"/>
      <c r="D1" s="3024"/>
      <c r="E1" s="3024"/>
      <c r="F1" s="3024"/>
      <c r="G1" s="3024"/>
      <c r="H1" s="3024"/>
      <c r="I1" s="3025"/>
      <c r="J1" s="2008"/>
    </row>
    <row r="2" spans="1:10" ht="8.25" customHeight="1" x14ac:dyDescent="0.2">
      <c r="A2" s="1774"/>
      <c r="B2" s="107"/>
      <c r="C2" s="1763"/>
      <c r="D2" s="107"/>
      <c r="E2" s="1763"/>
      <c r="F2" s="107"/>
      <c r="G2" s="107"/>
      <c r="H2" s="107"/>
      <c r="I2" s="107"/>
      <c r="J2" s="1784"/>
    </row>
    <row r="3" spans="1:10" ht="15.75" customHeight="1" x14ac:dyDescent="0.2">
      <c r="A3" s="1774"/>
      <c r="B3" s="2043" t="s">
        <v>833</v>
      </c>
      <c r="C3" s="2044" t="str">
        <f>CADASTRO!C4</f>
        <v>Digitar o nome</v>
      </c>
      <c r="D3" s="2045"/>
      <c r="E3" s="2042" t="str">
        <f>CADASTRO!C6</f>
        <v>Digitar o município</v>
      </c>
      <c r="F3" s="2045"/>
      <c r="G3" s="2085">
        <f>CADASTRO!C12</f>
        <v>44013</v>
      </c>
      <c r="H3" s="2084">
        <f>CADASTRO!C14</f>
        <v>44377</v>
      </c>
      <c r="I3" s="107"/>
      <c r="J3" s="1784"/>
    </row>
    <row r="4" spans="1:10" ht="7.5" customHeight="1" x14ac:dyDescent="0.2">
      <c r="A4" s="1774"/>
      <c r="B4" s="107"/>
      <c r="C4" s="1763"/>
      <c r="D4" s="107"/>
      <c r="E4" s="1763"/>
      <c r="F4" s="107"/>
      <c r="G4" s="107"/>
      <c r="H4" s="107"/>
      <c r="I4" s="107"/>
      <c r="J4" s="1784"/>
    </row>
    <row r="5" spans="1:10" x14ac:dyDescent="0.2">
      <c r="A5" s="1774"/>
      <c r="B5" s="3016" t="s">
        <v>209</v>
      </c>
      <c r="C5" s="3016"/>
      <c r="D5" s="3016"/>
      <c r="E5" s="1763"/>
      <c r="F5" s="3026" t="s">
        <v>845</v>
      </c>
      <c r="G5" s="3026"/>
      <c r="H5" s="3026"/>
      <c r="I5" s="107"/>
      <c r="J5" s="1784"/>
    </row>
    <row r="6" spans="1:10" x14ac:dyDescent="0.2">
      <c r="A6" s="1774"/>
      <c r="B6" s="107"/>
      <c r="C6" s="107"/>
      <c r="D6" s="107"/>
      <c r="E6" s="107"/>
      <c r="F6" s="107"/>
      <c r="G6" s="107"/>
      <c r="H6" s="107"/>
      <c r="I6" s="107"/>
      <c r="J6" s="1784"/>
    </row>
    <row r="7" spans="1:10" x14ac:dyDescent="0.2">
      <c r="A7" s="1774"/>
      <c r="B7" s="107"/>
      <c r="C7" s="2707" t="s">
        <v>949</v>
      </c>
      <c r="D7" s="2068">
        <f>'E. TOTAL'!D4</f>
        <v>0</v>
      </c>
      <c r="E7" s="107"/>
      <c r="F7" s="107"/>
      <c r="G7" s="1787">
        <f>REBANHO!C7</f>
        <v>44013</v>
      </c>
      <c r="H7" s="1787">
        <f>REBANHO!D7</f>
        <v>44377</v>
      </c>
      <c r="I7" s="107"/>
      <c r="J7" s="1784"/>
    </row>
    <row r="8" spans="1:10" x14ac:dyDescent="0.2">
      <c r="A8" s="1774"/>
      <c r="B8" s="107"/>
      <c r="C8" s="2707" t="s">
        <v>950</v>
      </c>
      <c r="D8" s="2068">
        <f>'E. TOTAL'!E4</f>
        <v>0</v>
      </c>
      <c r="E8" s="107"/>
      <c r="F8" s="2707" t="s">
        <v>809</v>
      </c>
      <c r="G8" s="2706">
        <f>REBANHO!C8</f>
        <v>0</v>
      </c>
      <c r="H8" s="2706">
        <f>REBANHO!D8</f>
        <v>0</v>
      </c>
      <c r="I8" s="107"/>
      <c r="J8" s="1784"/>
    </row>
    <row r="9" spans="1:10" x14ac:dyDescent="0.2">
      <c r="A9" s="1774"/>
      <c r="B9" s="107"/>
      <c r="C9" s="1889" t="s">
        <v>808</v>
      </c>
      <c r="D9" s="2068">
        <f>SUM(SOLO!I17:I34)/2+SUM(SOLO!K17:K34)/2</f>
        <v>0</v>
      </c>
      <c r="E9" s="107"/>
      <c r="F9" s="2707" t="s">
        <v>806</v>
      </c>
      <c r="G9" s="2705">
        <f>REBANHO!C9</f>
        <v>0</v>
      </c>
      <c r="H9" s="2705">
        <f>REBANHO!D9</f>
        <v>0</v>
      </c>
      <c r="I9" s="107"/>
      <c r="J9" s="1784"/>
    </row>
    <row r="10" spans="1:10" x14ac:dyDescent="0.2">
      <c r="A10" s="1774"/>
      <c r="B10" s="1889"/>
      <c r="C10" s="1897" t="s">
        <v>891</v>
      </c>
      <c r="D10" s="2068">
        <f>SUM(SOLO!I9:L15)/2</f>
        <v>0</v>
      </c>
      <c r="E10" s="107"/>
      <c r="F10" s="2707" t="s">
        <v>835</v>
      </c>
      <c r="G10" s="2705">
        <f>REBANHO!C10</f>
        <v>0</v>
      </c>
      <c r="H10" s="2705">
        <f>REBANHO!D10</f>
        <v>0</v>
      </c>
      <c r="I10" s="107"/>
      <c r="J10" s="1784"/>
    </row>
    <row r="11" spans="1:10" x14ac:dyDescent="0.2">
      <c r="A11" s="1774"/>
      <c r="B11" s="107"/>
      <c r="C11" s="2707" t="s">
        <v>892</v>
      </c>
      <c r="D11" s="2068">
        <f>'E. TOTAL'!N4</f>
        <v>0</v>
      </c>
      <c r="E11" s="107"/>
      <c r="F11" s="2707" t="s">
        <v>813</v>
      </c>
      <c r="G11" s="2705">
        <f>REBANHO!C11</f>
        <v>0</v>
      </c>
      <c r="H11" s="2705">
        <f>REBANHO!D11</f>
        <v>0</v>
      </c>
      <c r="I11" s="107"/>
      <c r="J11" s="1784"/>
    </row>
    <row r="12" spans="1:10" x14ac:dyDescent="0.2">
      <c r="A12" s="1774"/>
      <c r="B12" s="107"/>
      <c r="C12" s="2707" t="s">
        <v>943</v>
      </c>
      <c r="D12" s="2068">
        <f>SUM(SOLO!I30:L32)</f>
        <v>0</v>
      </c>
      <c r="E12" s="107"/>
      <c r="F12" s="2707" t="s">
        <v>812</v>
      </c>
      <c r="G12" s="2705">
        <f>REBANHO!C12</f>
        <v>0</v>
      </c>
      <c r="H12" s="2705">
        <f>REBANHO!D12</f>
        <v>0</v>
      </c>
      <c r="I12" s="107"/>
      <c r="J12" s="1784"/>
    </row>
    <row r="13" spans="1:10" x14ac:dyDescent="0.2">
      <c r="A13" s="1774"/>
      <c r="B13" s="1846"/>
      <c r="C13" s="2052" t="s">
        <v>944</v>
      </c>
      <c r="D13" s="107"/>
      <c r="E13" s="107"/>
      <c r="F13" s="2707" t="s">
        <v>836</v>
      </c>
      <c r="G13" s="2705">
        <f>REBANHO!C13</f>
        <v>0</v>
      </c>
      <c r="H13" s="2705">
        <f>REBANHO!D13</f>
        <v>0</v>
      </c>
      <c r="I13" s="107"/>
      <c r="J13" s="1784"/>
    </row>
    <row r="14" spans="1:10" x14ac:dyDescent="0.2">
      <c r="A14" s="1774"/>
      <c r="B14" s="1846"/>
      <c r="C14" s="2052"/>
      <c r="D14" s="107"/>
      <c r="E14" s="107"/>
      <c r="F14" s="2707" t="s">
        <v>815</v>
      </c>
      <c r="G14" s="2705">
        <f>REBANHO!C14</f>
        <v>0</v>
      </c>
      <c r="H14" s="2705">
        <f>REBANHO!D14</f>
        <v>0</v>
      </c>
      <c r="I14" s="107"/>
      <c r="J14" s="1784"/>
    </row>
    <row r="15" spans="1:10" x14ac:dyDescent="0.2">
      <c r="A15" s="1774"/>
      <c r="B15" s="3017" t="s">
        <v>847</v>
      </c>
      <c r="C15" s="3018"/>
      <c r="D15" s="3019"/>
      <c r="E15" s="107"/>
      <c r="F15" s="2707" t="s">
        <v>814</v>
      </c>
      <c r="G15" s="2705">
        <f>REBANHO!C15</f>
        <v>0</v>
      </c>
      <c r="H15" s="2705">
        <f>REBANHO!D15</f>
        <v>0</v>
      </c>
      <c r="I15" s="107"/>
      <c r="J15" s="1784"/>
    </row>
    <row r="16" spans="1:10" ht="12.75" customHeight="1" x14ac:dyDescent="0.2">
      <c r="A16" s="1774"/>
      <c r="B16" s="3020"/>
      <c r="C16" s="3021"/>
      <c r="D16" s="3022"/>
      <c r="E16" s="107"/>
      <c r="F16" s="2707" t="s">
        <v>816</v>
      </c>
      <c r="G16" s="2705">
        <f>REBANHO!C16</f>
        <v>0</v>
      </c>
      <c r="H16" s="2705">
        <f>REBANHO!D16</f>
        <v>0</v>
      </c>
      <c r="I16" s="107"/>
      <c r="J16" s="1784"/>
    </row>
    <row r="17" spans="1:14" ht="12.75" customHeight="1" x14ac:dyDescent="0.2">
      <c r="A17" s="1774"/>
      <c r="B17" s="107"/>
      <c r="C17" s="1763"/>
      <c r="D17" s="107"/>
      <c r="E17" s="1763"/>
      <c r="F17" s="2707"/>
      <c r="G17" s="2053"/>
      <c r="H17" s="2053"/>
      <c r="I17" s="107"/>
      <c r="J17" s="1784"/>
    </row>
    <row r="18" spans="1:14" ht="24.75" customHeight="1" x14ac:dyDescent="0.2">
      <c r="A18" s="1774"/>
      <c r="B18" s="3012" t="s">
        <v>861</v>
      </c>
      <c r="C18" s="3013"/>
      <c r="D18" s="2706">
        <f ca="1">'F. resultad econ. glob. detalh'!B58-'F. resultad econ. glob. detalh'!B54-'F. resultad econ. glob. detalh'!B55</f>
        <v>0</v>
      </c>
      <c r="E18" s="1763"/>
      <c r="F18" s="3016" t="s">
        <v>846</v>
      </c>
      <c r="G18" s="3016"/>
      <c r="H18" s="3016"/>
      <c r="I18" s="107"/>
      <c r="J18" s="1784"/>
    </row>
    <row r="19" spans="1:14" ht="25.5" customHeight="1" x14ac:dyDescent="0.2">
      <c r="A19" s="1774"/>
      <c r="B19" s="3014" t="s">
        <v>885</v>
      </c>
      <c r="C19" s="3015"/>
      <c r="D19" s="2706">
        <f>'DESPESAS (Agr.)'!G16</f>
        <v>0</v>
      </c>
      <c r="E19" s="1763"/>
      <c r="F19" s="107"/>
      <c r="G19" s="107"/>
      <c r="H19" s="107"/>
      <c r="I19" s="107"/>
      <c r="J19" s="1784"/>
    </row>
    <row r="20" spans="1:14" ht="25.5" customHeight="1" x14ac:dyDescent="0.2">
      <c r="A20" s="1774"/>
      <c r="B20" s="3014" t="s">
        <v>875</v>
      </c>
      <c r="C20" s="3015"/>
      <c r="D20" s="2703" t="e">
        <f>IF(AND(PRODUÇÃO!D19=0,PRODUÇÃO!D20=0)=0,"",('DESPESAS (Agr.)'!I358+'DESPESAS (Agr.)'!I383+'DESPESAS (Agr.)'!I409)/(PRODUÇÃO!D19+PRODUÇÃO!D20+PRODUÇÃO!D21))</f>
        <v>#DIV/0!</v>
      </c>
      <c r="E20" s="1763"/>
      <c r="F20" s="3012" t="s">
        <v>940</v>
      </c>
      <c r="G20" s="3013"/>
      <c r="H20" s="2702">
        <f>ALIMENTAÇÃO!P8</f>
        <v>0</v>
      </c>
      <c r="I20" s="107"/>
      <c r="J20" s="1784"/>
    </row>
    <row r="21" spans="1:14" ht="24.75" customHeight="1" x14ac:dyDescent="0.2">
      <c r="A21" s="1774"/>
      <c r="B21" s="2049"/>
      <c r="C21" s="2049"/>
      <c r="D21" s="2050"/>
      <c r="E21" s="1763"/>
      <c r="F21" s="3012" t="s">
        <v>879</v>
      </c>
      <c r="G21" s="3013"/>
      <c r="H21" s="2704">
        <f>ALIMENTAÇÃO!O8</f>
        <v>0</v>
      </c>
      <c r="I21" s="107"/>
      <c r="J21" s="1784"/>
    </row>
    <row r="22" spans="1:14" ht="12.75" customHeight="1" x14ac:dyDescent="0.2">
      <c r="A22" s="1774"/>
      <c r="B22" s="3011" t="s">
        <v>848</v>
      </c>
      <c r="C22" s="3011"/>
      <c r="D22" s="3033" t="str">
        <f>IF(C31=0,"",D18/C31/365)</f>
        <v/>
      </c>
      <c r="E22" s="1763"/>
      <c r="F22" s="3027" t="s">
        <v>939</v>
      </c>
      <c r="G22" s="3027"/>
      <c r="H22" s="3028">
        <f>(SUM(ALIMENTAÇÃO!C9:N9)*30)/12/30</f>
        <v>0</v>
      </c>
      <c r="I22" s="107"/>
      <c r="J22" s="1784"/>
      <c r="L22" s="2033"/>
      <c r="M22" s="333"/>
    </row>
    <row r="23" spans="1:14" x14ac:dyDescent="0.2">
      <c r="A23" s="1774"/>
      <c r="B23" s="3011"/>
      <c r="C23" s="3011"/>
      <c r="D23" s="3033"/>
      <c r="E23" s="1763"/>
      <c r="F23" s="3027"/>
      <c r="G23" s="3027"/>
      <c r="H23" s="3028"/>
      <c r="I23" s="107"/>
      <c r="J23" s="1784"/>
      <c r="L23" s="2033"/>
      <c r="M23" s="1762"/>
    </row>
    <row r="24" spans="1:14" ht="12.75" customHeight="1" x14ac:dyDescent="0.2">
      <c r="A24" s="1774"/>
      <c r="B24" s="3011" t="s">
        <v>849</v>
      </c>
      <c r="C24" s="3011"/>
      <c r="D24" s="3031" t="str">
        <f>D31</f>
        <v/>
      </c>
      <c r="E24" s="1763"/>
      <c r="F24" s="3027" t="s">
        <v>904</v>
      </c>
      <c r="G24" s="3027"/>
      <c r="H24" s="3032">
        <f>ALIMENTAÇÃO!O9</f>
        <v>0</v>
      </c>
      <c r="I24" s="107"/>
      <c r="J24" s="1784"/>
    </row>
    <row r="25" spans="1:14" x14ac:dyDescent="0.2">
      <c r="A25" s="1774"/>
      <c r="B25" s="3011"/>
      <c r="C25" s="3011"/>
      <c r="D25" s="3031"/>
      <c r="E25" s="1763"/>
      <c r="F25" s="3027"/>
      <c r="G25" s="3027"/>
      <c r="H25" s="3032"/>
      <c r="I25" s="107"/>
      <c r="J25" s="1784"/>
    </row>
    <row r="26" spans="1:14" ht="12.75" customHeight="1" x14ac:dyDescent="0.2">
      <c r="A26" s="1774"/>
      <c r="B26" s="107"/>
      <c r="C26" s="1763"/>
      <c r="D26" s="107"/>
      <c r="E26" s="1763"/>
      <c r="F26" s="3027" t="s">
        <v>821</v>
      </c>
      <c r="G26" s="3027"/>
      <c r="H26" s="3028">
        <f>IF(D9=0,0,(REBANHO!C17+REBANHO!D17)/2/RESULTADOS!D9)</f>
        <v>0</v>
      </c>
      <c r="I26" s="107"/>
      <c r="J26" s="1784"/>
      <c r="N26" s="1363"/>
    </row>
    <row r="27" spans="1:14" x14ac:dyDescent="0.2">
      <c r="A27" s="1774"/>
      <c r="B27" s="3017" t="s">
        <v>852</v>
      </c>
      <c r="C27" s="3018"/>
      <c r="D27" s="3019"/>
      <c r="E27" s="1763"/>
      <c r="F27" s="3027"/>
      <c r="G27" s="3027"/>
      <c r="H27" s="3028"/>
      <c r="I27" s="107"/>
      <c r="J27" s="1784"/>
      <c r="L27" s="333"/>
    </row>
    <row r="28" spans="1:14" ht="12.75" customHeight="1" x14ac:dyDescent="0.2">
      <c r="A28" s="1774"/>
      <c r="B28" s="3020"/>
      <c r="C28" s="3021"/>
      <c r="D28" s="3022"/>
      <c r="E28" s="1763"/>
      <c r="F28" s="3027" t="s">
        <v>972</v>
      </c>
      <c r="G28" s="3027"/>
      <c r="H28" s="3029" t="e">
        <f>IF(G39&lt;=10,"",H22/(G39-10))</f>
        <v>#VALUE!</v>
      </c>
      <c r="I28" s="107"/>
      <c r="J28" s="1784"/>
    </row>
    <row r="29" spans="1:14" x14ac:dyDescent="0.2">
      <c r="A29" s="1774"/>
      <c r="B29" s="2054"/>
      <c r="C29" s="2054"/>
      <c r="D29" s="2054"/>
      <c r="E29" s="1849"/>
      <c r="F29" s="3027"/>
      <c r="G29" s="3027"/>
      <c r="H29" s="3030"/>
      <c r="I29" s="107"/>
      <c r="J29" s="1784"/>
    </row>
    <row r="30" spans="1:14" ht="12.75" customHeight="1" x14ac:dyDescent="0.2">
      <c r="A30" s="1774"/>
      <c r="B30" s="1847"/>
      <c r="C30" s="1848" t="s">
        <v>853</v>
      </c>
      <c r="D30" s="1848" t="s">
        <v>854</v>
      </c>
      <c r="E30" s="1763"/>
      <c r="F30" s="2716" t="s">
        <v>960</v>
      </c>
      <c r="G30" s="107"/>
      <c r="H30" s="107"/>
      <c r="I30" s="107"/>
      <c r="J30" s="1784"/>
    </row>
    <row r="31" spans="1:14" x14ac:dyDescent="0.2">
      <c r="A31" s="1774"/>
      <c r="B31" s="1850" t="s">
        <v>838</v>
      </c>
      <c r="C31" s="2071">
        <f>PRODUÇÃO!C39/365</f>
        <v>0</v>
      </c>
      <c r="D31" s="2072" t="str">
        <f>PRODUÇÃO!D26</f>
        <v/>
      </c>
      <c r="E31" s="1763"/>
      <c r="F31" s="107"/>
      <c r="G31" s="107"/>
      <c r="H31" s="107"/>
      <c r="I31" s="107"/>
      <c r="J31" s="1784"/>
      <c r="L31" s="333"/>
    </row>
    <row r="32" spans="1:14" ht="13.5" customHeight="1" x14ac:dyDescent="0.2">
      <c r="A32" s="1774"/>
      <c r="B32" s="1763"/>
      <c r="C32" s="206" t="s">
        <v>969</v>
      </c>
      <c r="D32" s="206"/>
      <c r="E32" s="1763"/>
      <c r="F32" s="107"/>
      <c r="G32" s="107"/>
      <c r="H32" s="107"/>
      <c r="I32" s="107"/>
      <c r="J32" s="1784"/>
      <c r="K32" s="1774"/>
    </row>
    <row r="33" spans="1:17" ht="13.5" customHeight="1" x14ac:dyDescent="0.2">
      <c r="A33" s="1774"/>
      <c r="B33" s="2065">
        <f>CADASTRO!C12</f>
        <v>44013</v>
      </c>
      <c r="C33" s="2704">
        <f>PRODUÇÃO!C27/30</f>
        <v>0</v>
      </c>
      <c r="D33" s="1843">
        <f>PRODUÇÃO!D27</f>
        <v>0</v>
      </c>
      <c r="E33" s="1763"/>
      <c r="F33" s="3017" t="s">
        <v>862</v>
      </c>
      <c r="G33" s="3018"/>
      <c r="H33" s="3019"/>
      <c r="I33" s="107"/>
      <c r="J33" s="1784"/>
    </row>
    <row r="34" spans="1:17" ht="13.5" customHeight="1" x14ac:dyDescent="0.2">
      <c r="A34" s="1774"/>
      <c r="B34" s="2065">
        <f>B33+31</f>
        <v>44044</v>
      </c>
      <c r="C34" s="2704">
        <f>PRODUÇÃO!C28/30</f>
        <v>0</v>
      </c>
      <c r="D34" s="1843">
        <f>PRODUÇÃO!D28</f>
        <v>0</v>
      </c>
      <c r="E34" s="1763"/>
      <c r="F34" s="3020"/>
      <c r="G34" s="3021"/>
      <c r="H34" s="3022"/>
      <c r="I34" s="107"/>
      <c r="J34" s="1784"/>
    </row>
    <row r="35" spans="1:17" ht="13.5" customHeight="1" x14ac:dyDescent="0.2">
      <c r="A35" s="1774"/>
      <c r="B35" s="2065">
        <f t="shared" ref="B35:B44" si="0">B34+31</f>
        <v>44075</v>
      </c>
      <c r="C35" s="2704">
        <f>PRODUÇÃO!C29/30</f>
        <v>0</v>
      </c>
      <c r="D35" s="1843">
        <f>PRODUÇÃO!D29</f>
        <v>0</v>
      </c>
      <c r="E35" s="1763"/>
      <c r="F35" s="107"/>
      <c r="G35" s="1763"/>
      <c r="H35" s="107"/>
      <c r="I35" s="107"/>
      <c r="J35" s="1784"/>
    </row>
    <row r="36" spans="1:17" ht="13.5" customHeight="1" x14ac:dyDescent="0.2">
      <c r="A36" s="1774"/>
      <c r="B36" s="2065">
        <f t="shared" si="0"/>
        <v>44106</v>
      </c>
      <c r="C36" s="2704">
        <f>PRODUÇÃO!C30/30</f>
        <v>0</v>
      </c>
      <c r="D36" s="1843">
        <f>PRODUÇÃO!D30</f>
        <v>0</v>
      </c>
      <c r="E36" s="1763"/>
      <c r="F36" s="1763"/>
      <c r="G36" s="1848" t="s">
        <v>819</v>
      </c>
      <c r="H36" s="1848" t="s">
        <v>832</v>
      </c>
      <c r="I36" s="107"/>
      <c r="J36" s="1784"/>
      <c r="L36">
        <f ca="1">'F. resultad econ. glob. detalh'!B92</f>
        <v>0</v>
      </c>
      <c r="M36" t="str">
        <f>'F. resultad econ. glob. detalh'!B72</f>
        <v/>
      </c>
      <c r="O36">
        <v>9248</v>
      </c>
      <c r="P36">
        <f ca="1">O36-L36</f>
        <v>9248</v>
      </c>
    </row>
    <row r="37" spans="1:17" ht="13.5" customHeight="1" x14ac:dyDescent="0.2">
      <c r="A37" s="1774"/>
      <c r="B37" s="2065">
        <f t="shared" si="0"/>
        <v>44137</v>
      </c>
      <c r="C37" s="2704">
        <f>PRODUÇÃO!C31/30</f>
        <v>0</v>
      </c>
      <c r="D37" s="1843">
        <f>PRODUÇÃO!D31</f>
        <v>0</v>
      </c>
      <c r="E37" s="107"/>
      <c r="F37" s="3027" t="s">
        <v>817</v>
      </c>
      <c r="G37" s="3038">
        <f>C31</f>
        <v>0</v>
      </c>
      <c r="H37" s="3035">
        <f>PRODUÇÃO!N19</f>
        <v>0</v>
      </c>
      <c r="I37" s="107"/>
      <c r="J37" s="1784"/>
      <c r="L37">
        <f ca="1">'F. resultad econ. glob. detalh'!B124</f>
        <v>0</v>
      </c>
      <c r="M37" t="str">
        <f>'F. resultad econ. glob. detalh'!B97</f>
        <v/>
      </c>
      <c r="O37">
        <v>575.84999999999991</v>
      </c>
      <c r="P37">
        <f ca="1">O37-L37</f>
        <v>575.84999999999991</v>
      </c>
    </row>
    <row r="38" spans="1:17" ht="13.5" customHeight="1" x14ac:dyDescent="0.2">
      <c r="A38" s="1774"/>
      <c r="B38" s="2065">
        <f t="shared" si="0"/>
        <v>44168</v>
      </c>
      <c r="C38" s="2704">
        <f>PRODUÇÃO!C32/30</f>
        <v>0</v>
      </c>
      <c r="D38" s="1843">
        <f>PRODUÇÃO!D32</f>
        <v>0</v>
      </c>
      <c r="E38" s="107"/>
      <c r="F38" s="3027"/>
      <c r="G38" s="3038"/>
      <c r="H38" s="3035"/>
      <c r="I38" s="107"/>
      <c r="J38" s="1784"/>
      <c r="L38">
        <f ca="1">'F. resultad econ. glob. detalh'!B148</f>
        <v>0</v>
      </c>
      <c r="M38" t="str">
        <f>'F. resultad econ. glob. detalh'!B128</f>
        <v/>
      </c>
      <c r="O38">
        <v>291550</v>
      </c>
      <c r="P38">
        <f ca="1">O38-L38</f>
        <v>291550</v>
      </c>
    </row>
    <row r="39" spans="1:17" ht="13.5" customHeight="1" x14ac:dyDescent="0.2">
      <c r="A39" s="1774"/>
      <c r="B39" s="2065">
        <f t="shared" si="0"/>
        <v>44199</v>
      </c>
      <c r="C39" s="2704">
        <f>PRODUÇÃO!C33/30</f>
        <v>0</v>
      </c>
      <c r="D39" s="1843">
        <f>PRODUÇÃO!D33</f>
        <v>0</v>
      </c>
      <c r="E39" s="107"/>
      <c r="F39" s="3027" t="s">
        <v>818</v>
      </c>
      <c r="G39" s="3037" t="str">
        <f>IF(SUM(G8:H8)=0,"",C31/((G8+H8)/2))</f>
        <v/>
      </c>
      <c r="H39" s="3035">
        <f>PRODUÇÃO!N20</f>
        <v>0</v>
      </c>
      <c r="I39" s="107"/>
      <c r="J39" s="1784"/>
      <c r="L39">
        <f ca="1">'F. resultad econ. glob. detalh'!B173</f>
        <v>0</v>
      </c>
      <c r="M39" t="str">
        <f>'F. resultad econ. glob. detalh'!B152</f>
        <v/>
      </c>
      <c r="O39">
        <v>89.649999999999977</v>
      </c>
      <c r="P39">
        <f ca="1">O39-L39</f>
        <v>89.649999999999977</v>
      </c>
    </row>
    <row r="40" spans="1:17" ht="13.5" customHeight="1" x14ac:dyDescent="0.2">
      <c r="A40" s="1774"/>
      <c r="B40" s="2065">
        <f t="shared" si="0"/>
        <v>44230</v>
      </c>
      <c r="C40" s="2704">
        <f>PRODUÇÃO!C34/30</f>
        <v>0</v>
      </c>
      <c r="D40" s="1843">
        <f>PRODUÇÃO!D34</f>
        <v>0</v>
      </c>
      <c r="E40" s="107"/>
      <c r="F40" s="3027"/>
      <c r="G40" s="3037"/>
      <c r="H40" s="3035"/>
      <c r="I40" s="107"/>
      <c r="J40" s="1784"/>
      <c r="L40">
        <f ca="1">'F. resultad econ. glob. detalh'!B197</f>
        <v>0</v>
      </c>
      <c r="M40" t="str">
        <f>'F. resultad econ. glob. detalh'!B177</f>
        <v/>
      </c>
      <c r="O40">
        <v>-1324.2000000000007</v>
      </c>
      <c r="P40">
        <f ca="1">O40-L40</f>
        <v>-1324.2000000000007</v>
      </c>
    </row>
    <row r="41" spans="1:17" ht="13.5" customHeight="1" x14ac:dyDescent="0.2">
      <c r="A41" s="1774"/>
      <c r="B41" s="2065">
        <f t="shared" si="0"/>
        <v>44261</v>
      </c>
      <c r="C41" s="2704">
        <f>PRODUÇÃO!C35/30</f>
        <v>0</v>
      </c>
      <c r="D41" s="1843">
        <f>PRODUÇÃO!D35</f>
        <v>0</v>
      </c>
      <c r="E41" s="107"/>
      <c r="F41" s="3027" t="s">
        <v>965</v>
      </c>
      <c r="G41" s="3035" t="str">
        <f>IF(D9=0,"",C31*365/D9)</f>
        <v/>
      </c>
      <c r="H41" s="3036" t="e">
        <f>ROUNDUP((H37/G37)*G41,-3)</f>
        <v>#DIV/0!</v>
      </c>
      <c r="I41" s="107"/>
      <c r="J41" s="1784"/>
    </row>
    <row r="42" spans="1:17" ht="13.5" customHeight="1" x14ac:dyDescent="0.2">
      <c r="A42" s="1774"/>
      <c r="B42" s="2065">
        <f t="shared" si="0"/>
        <v>44292</v>
      </c>
      <c r="C42" s="2704">
        <f>PRODUÇÃO!C36/30</f>
        <v>0</v>
      </c>
      <c r="D42" s="1843">
        <f>PRODUÇÃO!D36</f>
        <v>0</v>
      </c>
      <c r="E42" s="107"/>
      <c r="F42" s="3027"/>
      <c r="G42" s="3035"/>
      <c r="H42" s="3035"/>
      <c r="I42" s="107"/>
      <c r="J42" s="1784"/>
      <c r="L42">
        <f ca="1">SUM(L36:L38)</f>
        <v>0</v>
      </c>
      <c r="O42">
        <f>SUM(O36:O38)</f>
        <v>301373.84999999998</v>
      </c>
    </row>
    <row r="43" spans="1:17" ht="13.5" customHeight="1" x14ac:dyDescent="0.2">
      <c r="A43" s="1774"/>
      <c r="B43" s="2065">
        <f t="shared" si="0"/>
        <v>44323</v>
      </c>
      <c r="C43" s="2704">
        <f>PRODUÇÃO!C37/30</f>
        <v>0</v>
      </c>
      <c r="D43" s="1843">
        <f>PRODUÇÃO!D37</f>
        <v>0</v>
      </c>
      <c r="E43" s="107"/>
      <c r="F43" s="107"/>
      <c r="G43" s="107"/>
      <c r="H43" s="107"/>
      <c r="I43" s="107"/>
      <c r="J43" s="1784"/>
    </row>
    <row r="44" spans="1:17" x14ac:dyDescent="0.2">
      <c r="A44" s="1774"/>
      <c r="B44" s="2065">
        <f t="shared" si="0"/>
        <v>44354</v>
      </c>
      <c r="C44" s="2704">
        <f>PRODUÇÃO!C38/30</f>
        <v>0</v>
      </c>
      <c r="D44" s="1843">
        <f>PRODUÇÃO!D38</f>
        <v>0</v>
      </c>
      <c r="E44" s="107"/>
      <c r="F44" s="107"/>
      <c r="G44" s="107"/>
      <c r="H44" s="107"/>
      <c r="I44" s="107"/>
      <c r="J44" s="1784"/>
    </row>
    <row r="45" spans="1:17" x14ac:dyDescent="0.2">
      <c r="A45" s="1774"/>
      <c r="B45" s="107"/>
      <c r="C45" s="1763"/>
      <c r="D45" s="107"/>
      <c r="E45" s="107"/>
      <c r="F45" s="3034" t="s">
        <v>933</v>
      </c>
      <c r="G45" s="3034"/>
      <c r="H45" s="3034"/>
      <c r="I45" s="107"/>
      <c r="J45" s="1784"/>
      <c r="L45" t="str">
        <f>'F. resultad econ. glob. detalh'!B130</f>
        <v>R$</v>
      </c>
    </row>
    <row r="46" spans="1:17" x14ac:dyDescent="0.2">
      <c r="A46" s="1774"/>
      <c r="B46" s="3034" t="s">
        <v>931</v>
      </c>
      <c r="C46" s="3034"/>
      <c r="D46" s="3034"/>
      <c r="E46" s="107"/>
      <c r="F46" s="107"/>
      <c r="G46" s="107"/>
      <c r="H46" s="107"/>
      <c r="I46" s="107"/>
      <c r="J46" s="1784"/>
      <c r="L46">
        <v>300000</v>
      </c>
      <c r="M46">
        <f>'F. resultad econ. glob. detalh'!B131</f>
        <v>0</v>
      </c>
    </row>
    <row r="47" spans="1:17" x14ac:dyDescent="0.2">
      <c r="A47" s="1774"/>
      <c r="B47" s="107"/>
      <c r="C47" s="107"/>
      <c r="D47" s="107"/>
      <c r="E47" s="107"/>
      <c r="F47" s="1812" t="s">
        <v>897</v>
      </c>
      <c r="G47" s="238"/>
      <c r="H47" s="1904" t="e">
        <f>IF(C31=0,"",(D24*C31*365-'F. resultad econ. glob. detalh'!B58))+PRODUÇÃO!I76+REBANHO!I17</f>
        <v>#VALUE!</v>
      </c>
      <c r="I47" s="107"/>
      <c r="J47" s="1784"/>
      <c r="K47" s="1762"/>
      <c r="L47">
        <v>0</v>
      </c>
      <c r="M47">
        <f>'F. resultad econ. glob. detalh'!B132</f>
        <v>0</v>
      </c>
      <c r="Q47" s="1762"/>
    </row>
    <row r="48" spans="1:17" x14ac:dyDescent="0.2">
      <c r="A48" s="1774"/>
      <c r="B48" s="1812" t="s">
        <v>901</v>
      </c>
      <c r="C48" s="238"/>
      <c r="D48" s="1904" t="str">
        <f>IF(D9=0,"",H47/D9)</f>
        <v/>
      </c>
      <c r="E48" s="107"/>
      <c r="F48" s="423" t="s">
        <v>898</v>
      </c>
      <c r="G48" s="238"/>
      <c r="H48" s="1904">
        <f ca="1">(('F. resultad econ. glob. detalh'!B92+'F. resultad econ. glob. detalh'!B88)+('F. resultad econ. glob. detalh'!B124+'F. resultad econ. glob. detalh'!B116)+('F. resultad econ. glob. detalh'!B148+'F. resultad econ. glob. detalh'!B144)+('F. resultad econ. glob. detalh'!B173+'F. resultad econ. glob. detalh'!B168)+('F. resultad econ. glob. detalh'!B197+'F. resultad econ. glob. detalh'!B193))</f>
        <v>0</v>
      </c>
      <c r="I48" s="107"/>
      <c r="J48" s="1784"/>
      <c r="L48">
        <v>300000</v>
      </c>
      <c r="M48">
        <f>'F. resultad econ. glob. detalh'!B133</f>
        <v>0</v>
      </c>
    </row>
    <row r="49" spans="1:13" x14ac:dyDescent="0.2">
      <c r="A49" s="1774"/>
      <c r="B49" s="1812" t="s">
        <v>902</v>
      </c>
      <c r="C49" s="1905"/>
      <c r="D49" s="1904" t="str">
        <f>IF(D10=0,"",H48/D10)</f>
        <v/>
      </c>
      <c r="E49" s="107"/>
      <c r="F49" s="1812" t="s">
        <v>900</v>
      </c>
      <c r="G49" s="238"/>
      <c r="H49" s="2069">
        <f>PRODUÇÃO!N14</f>
        <v>0</v>
      </c>
      <c r="I49" s="1763"/>
      <c r="J49" s="1784"/>
      <c r="L49">
        <v>0</v>
      </c>
      <c r="M49">
        <f>'F. resultad econ. glob. detalh'!B134</f>
        <v>0</v>
      </c>
    </row>
    <row r="50" spans="1:13" x14ac:dyDescent="0.2">
      <c r="A50" s="1774"/>
      <c r="B50" s="1812" t="s">
        <v>903</v>
      </c>
      <c r="C50" s="238"/>
      <c r="D50" s="1904" t="str">
        <f>IF(SUM(D9:D10)=0,"",(H47+H48)/(D9+D10))</f>
        <v/>
      </c>
      <c r="E50" s="107"/>
      <c r="F50" s="107"/>
      <c r="G50" s="107"/>
      <c r="H50" s="107"/>
      <c r="I50" s="1763"/>
      <c r="J50" s="1784"/>
      <c r="L50">
        <v>10000</v>
      </c>
      <c r="M50">
        <f>'F. resultad econ. glob. detalh'!B135</f>
        <v>0</v>
      </c>
    </row>
    <row r="51" spans="1:13" x14ac:dyDescent="0.2">
      <c r="A51" s="1774"/>
      <c r="B51" s="107"/>
      <c r="C51" s="1763"/>
      <c r="D51" s="107"/>
      <c r="E51" s="1763"/>
      <c r="F51" s="2040" t="s">
        <v>934</v>
      </c>
      <c r="G51" s="2041"/>
      <c r="H51" s="2069">
        <f>INVESTIMENTOS!O13/12</f>
        <v>0</v>
      </c>
      <c r="I51" s="1763"/>
      <c r="J51" s="1784"/>
      <c r="L51">
        <v>0</v>
      </c>
      <c r="M51">
        <f>'F. resultad econ. glob. detalh'!B136</f>
        <v>0</v>
      </c>
    </row>
    <row r="52" spans="1:13" x14ac:dyDescent="0.2">
      <c r="A52" s="1774"/>
      <c r="B52" s="2046" t="s">
        <v>932</v>
      </c>
      <c r="C52" s="2046"/>
      <c r="D52" s="2070" t="e">
        <f>SUM(H47:H49)/12</f>
        <v>#VALUE!</v>
      </c>
      <c r="E52" s="1763"/>
      <c r="F52" s="2046" t="s">
        <v>899</v>
      </c>
      <c r="G52" s="2046"/>
      <c r="H52" s="2070" t="e">
        <f>D52-H51</f>
        <v>#VALUE!</v>
      </c>
      <c r="I52" s="1763"/>
      <c r="J52" s="1784"/>
      <c r="L52">
        <v>6900</v>
      </c>
      <c r="M52">
        <f>'F. resultad econ. glob. detalh'!B137</f>
        <v>0</v>
      </c>
    </row>
    <row r="53" spans="1:13" x14ac:dyDescent="0.2">
      <c r="A53" s="1774"/>
      <c r="B53" s="2716" t="s">
        <v>945</v>
      </c>
      <c r="C53" s="107"/>
      <c r="D53" s="107"/>
      <c r="E53" s="1763"/>
      <c r="F53" s="2716" t="s">
        <v>896</v>
      </c>
      <c r="G53" s="107"/>
      <c r="H53" s="107"/>
      <c r="I53" s="1763"/>
      <c r="J53" s="1784"/>
      <c r="L53">
        <v>0</v>
      </c>
      <c r="M53">
        <f ca="1">'F. resultad econ. glob. detalh'!B138</f>
        <v>0</v>
      </c>
    </row>
    <row r="54" spans="1:13" x14ac:dyDescent="0.2">
      <c r="A54" s="2717"/>
      <c r="B54" s="1785"/>
      <c r="C54" s="1776"/>
      <c r="D54" s="1785"/>
      <c r="E54" s="1776"/>
      <c r="F54" s="1785"/>
      <c r="G54" s="1785"/>
      <c r="H54" s="1785"/>
      <c r="I54" s="1776"/>
      <c r="J54" s="1786"/>
      <c r="L54">
        <v>0</v>
      </c>
      <c r="M54">
        <f>'F. resultad econ. glob. detalh'!B139</f>
        <v>0</v>
      </c>
    </row>
    <row r="55" spans="1:13" x14ac:dyDescent="0.2">
      <c r="A55" s="1758"/>
      <c r="E55"/>
      <c r="F55" s="107"/>
      <c r="G55" s="107"/>
      <c r="H55" s="1810"/>
      <c r="L55">
        <v>16900</v>
      </c>
      <c r="M55">
        <f ca="1">'F. resultad econ. glob. detalh'!B140</f>
        <v>0</v>
      </c>
    </row>
    <row r="56" spans="1:13" x14ac:dyDescent="0.2">
      <c r="A56" s="1758"/>
      <c r="E56"/>
      <c r="F56" s="107"/>
      <c r="G56" s="107"/>
      <c r="H56" s="1810"/>
      <c r="L56">
        <v>0</v>
      </c>
      <c r="M56">
        <f>'F. resultad econ. glob. detalh'!B141</f>
        <v>0</v>
      </c>
    </row>
    <row r="57" spans="1:13" x14ac:dyDescent="0.2">
      <c r="E57"/>
      <c r="L57">
        <v>0</v>
      </c>
      <c r="M57">
        <f>'F. resultad econ. glob. detalh'!B142</f>
        <v>0</v>
      </c>
    </row>
    <row r="58" spans="1:13" x14ac:dyDescent="0.2">
      <c r="E58"/>
      <c r="L58">
        <v>0</v>
      </c>
      <c r="M58">
        <f>'F. resultad econ. glob. detalh'!B143</f>
        <v>0</v>
      </c>
    </row>
    <row r="59" spans="1:13" x14ac:dyDescent="0.2">
      <c r="E59"/>
      <c r="L59">
        <v>0</v>
      </c>
      <c r="M59">
        <f>'F. resultad econ. glob. detalh'!B144</f>
        <v>0</v>
      </c>
    </row>
    <row r="60" spans="1:13" x14ac:dyDescent="0.2">
      <c r="E60"/>
      <c r="L60">
        <v>0</v>
      </c>
      <c r="M60">
        <f>'F. resultad econ. glob. detalh'!B145</f>
        <v>0</v>
      </c>
    </row>
    <row r="61" spans="1:13" x14ac:dyDescent="0.2">
      <c r="L61">
        <v>16900</v>
      </c>
      <c r="M61">
        <f ca="1">'F. resultad econ. glob. detalh'!B146</f>
        <v>0</v>
      </c>
    </row>
    <row r="62" spans="1:13" x14ac:dyDescent="0.2">
      <c r="L62">
        <v>0</v>
      </c>
      <c r="M62">
        <f>'F. resultad econ. glob. detalh'!B147</f>
        <v>0</v>
      </c>
    </row>
    <row r="63" spans="1:13" x14ac:dyDescent="0.2">
      <c r="L63">
        <v>283100</v>
      </c>
      <c r="M63">
        <f ca="1">'F. resultad econ. glob. detalh'!B148</f>
        <v>0</v>
      </c>
    </row>
  </sheetData>
  <mergeCells count="35">
    <mergeCell ref="F33:H34"/>
    <mergeCell ref="H37:H38"/>
    <mergeCell ref="H39:H40"/>
    <mergeCell ref="G39:G40"/>
    <mergeCell ref="F39:F40"/>
    <mergeCell ref="G37:G38"/>
    <mergeCell ref="F37:F38"/>
    <mergeCell ref="B46:D46"/>
    <mergeCell ref="F45:H45"/>
    <mergeCell ref="F41:F42"/>
    <mergeCell ref="G41:G42"/>
    <mergeCell ref="H41:H42"/>
    <mergeCell ref="B15:D16"/>
    <mergeCell ref="B1:I1"/>
    <mergeCell ref="F5:H5"/>
    <mergeCell ref="B5:D5"/>
    <mergeCell ref="F28:G29"/>
    <mergeCell ref="H26:H27"/>
    <mergeCell ref="F24:G25"/>
    <mergeCell ref="H28:H29"/>
    <mergeCell ref="B24:C25"/>
    <mergeCell ref="B27:D28"/>
    <mergeCell ref="F26:G27"/>
    <mergeCell ref="D24:D25"/>
    <mergeCell ref="H22:H23"/>
    <mergeCell ref="H24:H25"/>
    <mergeCell ref="F22:G23"/>
    <mergeCell ref="D22:D23"/>
    <mergeCell ref="B22:C23"/>
    <mergeCell ref="B18:C18"/>
    <mergeCell ref="B19:C19"/>
    <mergeCell ref="F20:G20"/>
    <mergeCell ref="F18:H18"/>
    <mergeCell ref="B20:C20"/>
    <mergeCell ref="F21:G21"/>
  </mergeCells>
  <conditionalFormatting sqref="H28:H29">
    <cfRule type="cellIs" dxfId="0" priority="1" operator="greaterThan">
      <formula>3</formula>
    </cfRule>
  </conditionalFormatting>
  <pageMargins left="0.31496062992125984" right="0.31496062992125984" top="0.78740157480314965" bottom="0.78740157480314965"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5">
    <tabColor rgb="FFFFFF00"/>
  </sheetPr>
  <dimension ref="B1:M117"/>
  <sheetViews>
    <sheetView showGridLines="0" zoomScale="120" zoomScaleNormal="120" workbookViewId="0">
      <selection activeCell="P34" sqref="P34"/>
    </sheetView>
  </sheetViews>
  <sheetFormatPr defaultRowHeight="12.75" x14ac:dyDescent="0.2"/>
  <cols>
    <col min="1" max="1" width="2.140625" customWidth="1"/>
    <col min="2" max="2" width="3.5703125" customWidth="1"/>
    <col min="3" max="3" width="4.42578125" customWidth="1"/>
    <col min="4" max="4" width="11" customWidth="1"/>
    <col min="5" max="5" width="11.7109375" style="1758" customWidth="1"/>
    <col min="6" max="6" width="13.28515625" customWidth="1"/>
    <col min="7" max="7" width="12.28515625" style="1758" customWidth="1"/>
    <col min="8" max="10" width="11.7109375" customWidth="1"/>
    <col min="11" max="11" width="1.5703125" customWidth="1"/>
    <col min="12" max="12" width="2.7109375" customWidth="1"/>
    <col min="18" max="18" width="10.140625" bestFit="1" customWidth="1"/>
  </cols>
  <sheetData>
    <row r="1" spans="2:12" x14ac:dyDescent="0.2">
      <c r="B1" s="2098"/>
      <c r="C1" s="2096"/>
      <c r="D1" s="2096"/>
      <c r="E1" s="2097"/>
      <c r="F1" s="2096"/>
      <c r="G1" s="2097"/>
      <c r="H1" s="2096"/>
      <c r="I1" s="2096"/>
      <c r="J1" s="2096"/>
      <c r="K1" s="2096"/>
      <c r="L1" s="2008"/>
    </row>
    <row r="2" spans="2:12" ht="26.25" customHeight="1" thickBot="1" x14ac:dyDescent="0.25">
      <c r="B2" s="1774"/>
      <c r="C2" s="3044" t="s">
        <v>973</v>
      </c>
      <c r="D2" s="3045"/>
      <c r="E2" s="3045"/>
      <c r="F2" s="3045"/>
      <c r="G2" s="3045"/>
      <c r="H2" s="3045"/>
      <c r="I2" s="3045"/>
      <c r="J2" s="3045"/>
      <c r="K2" s="3046"/>
      <c r="L2" s="1784"/>
    </row>
    <row r="3" spans="2:12" ht="7.5" customHeight="1" x14ac:dyDescent="0.2">
      <c r="B3" s="1774"/>
      <c r="C3" s="2099"/>
      <c r="D3" s="107"/>
      <c r="E3" s="1763"/>
      <c r="F3" s="107"/>
      <c r="G3" s="1763"/>
      <c r="H3" s="107"/>
      <c r="I3" s="107"/>
      <c r="J3" s="107"/>
      <c r="K3" s="107"/>
      <c r="L3" s="1784"/>
    </row>
    <row r="4" spans="2:12" x14ac:dyDescent="0.2">
      <c r="B4" s="1774"/>
      <c r="C4" s="107"/>
      <c r="D4" s="2013" t="s">
        <v>833</v>
      </c>
      <c r="E4" s="2014" t="str">
        <f>CADASTRO!C4</f>
        <v>Digitar o nome</v>
      </c>
      <c r="F4" s="2015"/>
      <c r="G4" s="2013" t="s">
        <v>834</v>
      </c>
      <c r="H4" s="2014" t="str">
        <f>CADASTRO!C6</f>
        <v>Digitar o município</v>
      </c>
      <c r="I4" s="2086">
        <f>CADASTRO!C12</f>
        <v>44013</v>
      </c>
      <c r="J4" s="2087">
        <f>CADASTRO!C14</f>
        <v>44377</v>
      </c>
      <c r="K4" s="107"/>
      <c r="L4" s="1784"/>
    </row>
    <row r="5" spans="2:12" x14ac:dyDescent="0.2">
      <c r="B5" s="1774"/>
      <c r="C5" s="107"/>
      <c r="D5" s="107"/>
      <c r="E5" s="1763"/>
      <c r="F5" s="107"/>
      <c r="G5" s="1763"/>
      <c r="H5" s="1853"/>
      <c r="I5" s="1853"/>
      <c r="J5" s="1853"/>
      <c r="K5" s="1853"/>
      <c r="L5" s="1858"/>
    </row>
    <row r="6" spans="2:12" x14ac:dyDescent="0.2">
      <c r="B6" s="1774"/>
      <c r="C6" s="107"/>
      <c r="D6" s="107"/>
      <c r="E6" s="1763"/>
      <c r="F6" s="107"/>
      <c r="G6" s="1763"/>
      <c r="H6" s="1853"/>
      <c r="I6" s="1853"/>
      <c r="J6" s="1853"/>
      <c r="K6" s="1853"/>
      <c r="L6" s="1858"/>
    </row>
    <row r="7" spans="2:12" x14ac:dyDescent="0.2">
      <c r="B7" s="1774"/>
      <c r="C7" s="107"/>
      <c r="D7" s="3034" t="s">
        <v>209</v>
      </c>
      <c r="E7" s="3034"/>
      <c r="F7" s="3034"/>
      <c r="G7" s="1763"/>
      <c r="H7" s="3047" t="s">
        <v>845</v>
      </c>
      <c r="I7" s="3047"/>
      <c r="J7" s="3047"/>
      <c r="K7" s="1853"/>
      <c r="L7" s="1858"/>
    </row>
    <row r="8" spans="2:12" x14ac:dyDescent="0.2">
      <c r="B8" s="1774"/>
      <c r="C8" s="107"/>
      <c r="D8" s="107"/>
      <c r="E8" s="107"/>
      <c r="F8" s="107"/>
      <c r="G8" s="107"/>
      <c r="H8" s="1853"/>
      <c r="I8" s="1853"/>
      <c r="J8" s="1853"/>
      <c r="K8" s="1853"/>
      <c r="L8" s="1858"/>
    </row>
    <row r="9" spans="2:12" x14ac:dyDescent="0.2">
      <c r="B9" s="1774"/>
      <c r="C9" s="107"/>
      <c r="D9" s="2009"/>
      <c r="E9" s="2078" t="str">
        <f>RESULTADOS!C10</f>
        <v>Área média com Grãos</v>
      </c>
      <c r="F9" s="2077">
        <f>RESULTADOS!D10</f>
        <v>0</v>
      </c>
      <c r="G9" s="107"/>
      <c r="H9" s="1783"/>
      <c r="I9" s="1992">
        <f>REBANHO!C7</f>
        <v>44013</v>
      </c>
      <c r="J9" s="1992">
        <f>REBANHO!D7</f>
        <v>44377</v>
      </c>
      <c r="K9" s="1853"/>
      <c r="L9" s="1858"/>
    </row>
    <row r="10" spans="2:12" x14ac:dyDescent="0.2">
      <c r="B10" s="1774"/>
      <c r="C10" s="107"/>
      <c r="D10" s="107"/>
      <c r="E10" s="2078" t="str">
        <f>RESULTADOS!C11</f>
        <v>Área média com pastagens</v>
      </c>
      <c r="F10" s="2077">
        <f>RESULTADOS!D11</f>
        <v>0</v>
      </c>
      <c r="G10" s="107"/>
      <c r="H10" s="2078" t="s">
        <v>809</v>
      </c>
      <c r="I10" s="1993">
        <f>REBANHO!C8</f>
        <v>0</v>
      </c>
      <c r="J10" s="1993">
        <f>REBANHO!D8</f>
        <v>0</v>
      </c>
      <c r="K10" s="1853"/>
      <c r="L10" s="1858"/>
    </row>
    <row r="11" spans="2:12" x14ac:dyDescent="0.2">
      <c r="B11" s="1774"/>
      <c r="C11" s="107"/>
      <c r="D11" s="107"/>
      <c r="E11" s="2078" t="str">
        <f>RESULTADOS!C12</f>
        <v>Área de silagem*</v>
      </c>
      <c r="F11" s="2077">
        <f>RESULTADOS!D12</f>
        <v>0</v>
      </c>
      <c r="G11" s="107"/>
      <c r="H11" s="2078" t="s">
        <v>806</v>
      </c>
      <c r="I11" s="1993">
        <f>REBANHO!C9</f>
        <v>0</v>
      </c>
      <c r="J11" s="1993">
        <f>REBANHO!D9</f>
        <v>0</v>
      </c>
      <c r="K11" s="1853"/>
      <c r="L11" s="1858"/>
    </row>
    <row r="12" spans="2:12" x14ac:dyDescent="0.2">
      <c r="B12" s="1774"/>
      <c r="C12" s="107"/>
      <c r="D12" s="3048"/>
      <c r="E12" s="3049"/>
      <c r="F12" s="2077"/>
      <c r="G12" s="107"/>
      <c r="H12" s="2078" t="s">
        <v>835</v>
      </c>
      <c r="I12" s="1993">
        <f>REBANHO!C10</f>
        <v>0</v>
      </c>
      <c r="J12" s="1993">
        <f>REBANHO!D10</f>
        <v>0</v>
      </c>
      <c r="K12" s="1853"/>
      <c r="L12" s="1858"/>
    </row>
    <row r="13" spans="2:12" x14ac:dyDescent="0.2">
      <c r="B13" s="1774"/>
      <c r="C13" s="107"/>
      <c r="D13" s="3050"/>
      <c r="E13" s="3051"/>
      <c r="F13" s="2077"/>
      <c r="G13" s="107"/>
      <c r="H13" s="2078" t="s">
        <v>813</v>
      </c>
      <c r="I13" s="1993">
        <f>REBANHO!C11</f>
        <v>0</v>
      </c>
      <c r="J13" s="1993">
        <f>REBANHO!D11</f>
        <v>0</v>
      </c>
      <c r="K13" s="1853"/>
      <c r="L13" s="1858"/>
    </row>
    <row r="14" spans="2:12" x14ac:dyDescent="0.2">
      <c r="B14" s="1774"/>
      <c r="C14" s="107"/>
      <c r="D14" s="1846"/>
      <c r="E14" s="1793"/>
      <c r="F14" s="107"/>
      <c r="G14" s="107"/>
      <c r="H14" s="2078" t="s">
        <v>812</v>
      </c>
      <c r="I14" s="1993">
        <f>REBANHO!C12</f>
        <v>0</v>
      </c>
      <c r="J14" s="1993">
        <f>REBANHO!D12</f>
        <v>0</v>
      </c>
      <c r="K14" s="1853"/>
      <c r="L14" s="1858"/>
    </row>
    <row r="15" spans="2:12" x14ac:dyDescent="0.2">
      <c r="B15" s="1774"/>
      <c r="C15" s="107"/>
      <c r="D15" s="107"/>
      <c r="E15" s="1763"/>
      <c r="F15" s="107"/>
      <c r="G15" s="107"/>
      <c r="H15" s="2078" t="s">
        <v>836</v>
      </c>
      <c r="I15" s="1993">
        <f>REBANHO!C13</f>
        <v>0</v>
      </c>
      <c r="J15" s="1993">
        <f>REBANHO!D13</f>
        <v>0</v>
      </c>
      <c r="K15" s="1853"/>
      <c r="L15" s="1858"/>
    </row>
    <row r="16" spans="2:12" x14ac:dyDescent="0.2">
      <c r="B16" s="1774"/>
      <c r="C16" s="107"/>
      <c r="D16" s="107"/>
      <c r="E16" s="1763"/>
      <c r="F16" s="107"/>
      <c r="G16" s="107"/>
      <c r="H16" s="2078" t="s">
        <v>815</v>
      </c>
      <c r="I16" s="1993">
        <f>REBANHO!C14</f>
        <v>0</v>
      </c>
      <c r="J16" s="1993">
        <f>REBANHO!D14</f>
        <v>0</v>
      </c>
      <c r="K16" s="1853"/>
      <c r="L16" s="1858"/>
    </row>
    <row r="17" spans="2:12" x14ac:dyDescent="0.2">
      <c r="B17" s="1774"/>
      <c r="C17" s="107"/>
      <c r="D17" s="3034" t="s">
        <v>851</v>
      </c>
      <c r="E17" s="3034"/>
      <c r="F17" s="3034"/>
      <c r="G17" s="107"/>
      <c r="H17" s="2078" t="s">
        <v>814</v>
      </c>
      <c r="I17" s="1993">
        <f>REBANHO!C15</f>
        <v>0</v>
      </c>
      <c r="J17" s="1993">
        <f>REBANHO!D15</f>
        <v>0</v>
      </c>
      <c r="K17" s="1853"/>
      <c r="L17" s="1858"/>
    </row>
    <row r="18" spans="2:12" ht="12.75" customHeight="1" x14ac:dyDescent="0.2">
      <c r="B18" s="1774"/>
      <c r="C18" s="107"/>
      <c r="D18" s="107"/>
      <c r="E18" s="1763"/>
      <c r="F18" s="107"/>
      <c r="G18" s="107"/>
      <c r="H18" s="2078" t="s">
        <v>816</v>
      </c>
      <c r="I18" s="1993">
        <f>REBANHO!C16</f>
        <v>0</v>
      </c>
      <c r="J18" s="1993">
        <f>REBANHO!D16</f>
        <v>0</v>
      </c>
      <c r="K18" s="1853"/>
      <c r="L18" s="1858"/>
    </row>
    <row r="19" spans="2:12" ht="12.75" customHeight="1" x14ac:dyDescent="0.2">
      <c r="B19" s="1774"/>
      <c r="C19" s="107"/>
      <c r="D19" s="1763"/>
      <c r="E19" s="1847" t="s">
        <v>819</v>
      </c>
      <c r="F19" s="1847" t="s">
        <v>832</v>
      </c>
      <c r="G19" s="1763"/>
      <c r="H19" s="1783"/>
      <c r="I19" s="1783"/>
      <c r="J19" s="1783"/>
      <c r="K19" s="1853"/>
      <c r="L19" s="1858"/>
    </row>
    <row r="20" spans="2:12" ht="6" customHeight="1" x14ac:dyDescent="0.2">
      <c r="B20" s="1774"/>
      <c r="C20" s="107"/>
      <c r="D20" s="1763"/>
      <c r="E20" s="1847"/>
      <c r="F20" s="1847"/>
      <c r="G20" s="1763"/>
      <c r="H20" s="1853"/>
      <c r="I20" s="1853"/>
      <c r="J20" s="1853"/>
      <c r="K20" s="1853"/>
      <c r="L20" s="1858"/>
    </row>
    <row r="21" spans="2:12" ht="12.75" customHeight="1" x14ac:dyDescent="0.2">
      <c r="B21" s="1774"/>
      <c r="C21" s="107"/>
      <c r="D21" s="1812" t="s">
        <v>914</v>
      </c>
      <c r="E21" s="2012">
        <f>RESULTADOS!D8</f>
        <v>0</v>
      </c>
      <c r="F21" s="107"/>
      <c r="G21" s="1854"/>
      <c r="H21" s="1853"/>
      <c r="I21" s="1853"/>
      <c r="J21" s="1853"/>
      <c r="K21" s="1853"/>
      <c r="L21" s="1858"/>
    </row>
    <row r="22" spans="2:12" ht="12.75" customHeight="1" x14ac:dyDescent="0.2">
      <c r="B22" s="1774"/>
      <c r="C22" s="1783"/>
      <c r="D22" s="1783"/>
      <c r="E22" s="1847"/>
      <c r="F22" s="1783"/>
      <c r="G22" s="1854"/>
      <c r="H22" s="3039" t="s">
        <v>846</v>
      </c>
      <c r="I22" s="3039"/>
      <c r="J22" s="3039"/>
      <c r="K22" s="1853"/>
      <c r="L22" s="1858"/>
    </row>
    <row r="23" spans="2:12" ht="12.75" customHeight="1" x14ac:dyDescent="0.2">
      <c r="B23" s="1859"/>
      <c r="C23" s="1783"/>
      <c r="D23" s="1998" t="s">
        <v>964</v>
      </c>
      <c r="E23" s="1999">
        <f>RESULTADOS!G37</f>
        <v>0</v>
      </c>
      <c r="F23" s="1999">
        <f>RESULTADOS!H37</f>
        <v>0</v>
      </c>
      <c r="G23" s="1854"/>
      <c r="H23" s="1853"/>
      <c r="I23" s="1853"/>
      <c r="J23" s="1853"/>
      <c r="K23" s="1853"/>
      <c r="L23" s="1858"/>
    </row>
    <row r="24" spans="2:12" ht="12.75" customHeight="1" x14ac:dyDescent="0.2">
      <c r="B24" s="1859"/>
      <c r="C24" s="1783"/>
      <c r="D24" s="1998" t="s">
        <v>963</v>
      </c>
      <c r="E24" s="2000" t="str">
        <f>RESULTADOS!G39</f>
        <v/>
      </c>
      <c r="F24" s="1999">
        <f>RESULTADOS!H39</f>
        <v>0</v>
      </c>
      <c r="G24" s="1854"/>
      <c r="H24" s="107"/>
      <c r="I24" s="2078" t="s">
        <v>820</v>
      </c>
      <c r="J24" s="1849">
        <f>RESULTADOS!H20:H20</f>
        <v>0</v>
      </c>
      <c r="K24" s="1853"/>
      <c r="L24" s="1858"/>
    </row>
    <row r="25" spans="2:12" x14ac:dyDescent="0.2">
      <c r="B25" s="1859"/>
      <c r="C25" s="1783"/>
      <c r="D25" s="1783"/>
      <c r="E25" s="1847"/>
      <c r="F25" s="1783"/>
      <c r="G25" s="1854"/>
      <c r="H25" s="107"/>
      <c r="I25" s="2010" t="s">
        <v>912</v>
      </c>
      <c r="J25" s="2011">
        <f>RESULTADOS!H22</f>
        <v>0</v>
      </c>
      <c r="K25" s="1853"/>
      <c r="L25" s="1858"/>
    </row>
    <row r="26" spans="2:12" ht="12.75" customHeight="1" x14ac:dyDescent="0.2">
      <c r="B26" s="1774"/>
      <c r="C26" s="1783"/>
      <c r="D26" s="1783"/>
      <c r="E26" s="1847"/>
      <c r="F26" s="1783"/>
      <c r="G26" s="1763"/>
      <c r="H26" s="107"/>
      <c r="I26" s="2009" t="s">
        <v>821</v>
      </c>
      <c r="J26" s="2011">
        <f>RESULTADOS!H26</f>
        <v>0</v>
      </c>
      <c r="K26" s="107"/>
      <c r="L26" s="1784"/>
    </row>
    <row r="27" spans="2:12" x14ac:dyDescent="0.2">
      <c r="B27" s="1774"/>
      <c r="C27" s="1783"/>
      <c r="D27" s="1994" t="s">
        <v>847</v>
      </c>
      <c r="E27" s="1994"/>
      <c r="F27" s="1994"/>
      <c r="G27" s="1763"/>
      <c r="H27" s="107"/>
      <c r="I27" s="107" t="str">
        <f>RESULTADOS!F28</f>
        <v>Relação concentrado / litro de leite (acima de 10 litros)*</v>
      </c>
      <c r="J27" s="2011" t="e">
        <f>RESULTADOS!H28</f>
        <v>#VALUE!</v>
      </c>
      <c r="K27" s="107"/>
      <c r="L27" s="1784"/>
    </row>
    <row r="28" spans="2:12" ht="12.75" customHeight="1" x14ac:dyDescent="0.2">
      <c r="B28" s="1774"/>
      <c r="C28" s="107"/>
      <c r="D28" s="107"/>
      <c r="E28" s="1763"/>
      <c r="F28" s="107"/>
      <c r="G28" s="1763"/>
      <c r="H28" s="107"/>
      <c r="I28" s="107"/>
      <c r="J28" s="107"/>
      <c r="K28" s="107"/>
      <c r="L28" s="1784"/>
    </row>
    <row r="29" spans="2:12" x14ac:dyDescent="0.2">
      <c r="B29" s="1774"/>
      <c r="C29" s="107"/>
      <c r="D29" s="1995" t="s">
        <v>848</v>
      </c>
      <c r="E29" s="1995"/>
      <c r="F29" s="1996" t="str">
        <f>RESULTADOS!D22</f>
        <v/>
      </c>
      <c r="G29" s="1849"/>
      <c r="H29" s="107"/>
      <c r="I29" s="107"/>
      <c r="J29" s="107"/>
      <c r="K29" s="107"/>
      <c r="L29" s="1784"/>
    </row>
    <row r="30" spans="2:12" ht="12.75" customHeight="1" x14ac:dyDescent="0.2">
      <c r="B30" s="1774"/>
      <c r="C30" s="107"/>
      <c r="D30" s="1995"/>
      <c r="E30" s="1995"/>
      <c r="F30" s="1996"/>
      <c r="G30" s="1763"/>
      <c r="H30" s="107"/>
      <c r="I30" s="107"/>
      <c r="J30" s="107"/>
      <c r="K30" s="107"/>
      <c r="L30" s="1784"/>
    </row>
    <row r="31" spans="2:12" x14ac:dyDescent="0.2">
      <c r="B31" s="1774"/>
      <c r="C31" s="107"/>
      <c r="D31" s="1995" t="s">
        <v>849</v>
      </c>
      <c r="E31" s="1995"/>
      <c r="F31" s="1997" t="str">
        <f>RESULTADOS!D31</f>
        <v/>
      </c>
      <c r="G31" s="1763"/>
      <c r="H31" s="107"/>
      <c r="I31" s="107"/>
      <c r="J31" s="107"/>
      <c r="K31" s="107"/>
      <c r="L31" s="1784"/>
    </row>
    <row r="32" spans="2:12" x14ac:dyDescent="0.2">
      <c r="B32" s="1774"/>
      <c r="C32" s="107"/>
      <c r="D32" s="1995"/>
      <c r="E32" s="1995"/>
      <c r="F32" s="1997"/>
      <c r="G32" s="1763"/>
      <c r="H32" s="107"/>
      <c r="I32" s="107"/>
      <c r="J32" s="107"/>
      <c r="K32" s="107"/>
      <c r="L32" s="1784"/>
    </row>
    <row r="33" spans="2:12" x14ac:dyDescent="0.2">
      <c r="B33" s="1774"/>
      <c r="C33" s="107"/>
      <c r="D33" s="107"/>
      <c r="E33" s="1763"/>
      <c r="F33" s="107"/>
      <c r="G33" s="1855"/>
      <c r="H33" s="1856"/>
      <c r="I33" s="1856"/>
      <c r="J33" s="1856"/>
      <c r="K33" s="1856"/>
      <c r="L33" s="1860"/>
    </row>
    <row r="34" spans="2:12" x14ac:dyDescent="0.2">
      <c r="B34" s="1774"/>
      <c r="C34" s="107"/>
      <c r="D34" s="107"/>
      <c r="E34" s="1763"/>
      <c r="F34" s="107"/>
      <c r="G34" s="1855"/>
      <c r="H34" s="3042" t="s">
        <v>725</v>
      </c>
      <c r="I34" s="3042"/>
      <c r="J34" s="3042"/>
      <c r="K34" s="1856"/>
      <c r="L34" s="1860"/>
    </row>
    <row r="35" spans="2:12" x14ac:dyDescent="0.2">
      <c r="B35" s="1774"/>
      <c r="C35" s="107"/>
      <c r="D35" s="107"/>
      <c r="E35" s="1763"/>
      <c r="F35" s="107"/>
      <c r="G35" s="1855"/>
      <c r="H35" s="1856"/>
      <c r="I35" s="1856"/>
      <c r="J35" s="1856"/>
      <c r="K35" s="1856"/>
      <c r="L35" s="1860"/>
    </row>
    <row r="36" spans="2:12" x14ac:dyDescent="0.2">
      <c r="B36" s="1774"/>
      <c r="C36" s="107"/>
      <c r="D36" s="107"/>
      <c r="E36" s="1763"/>
      <c r="F36" s="107"/>
      <c r="G36" s="1854"/>
      <c r="H36" s="1853"/>
      <c r="I36" s="1853"/>
      <c r="J36" s="1853"/>
      <c r="K36" s="1853"/>
      <c r="L36" s="1858"/>
    </row>
    <row r="37" spans="2:12" ht="17.25" customHeight="1" x14ac:dyDescent="0.2">
      <c r="B37" s="1774"/>
      <c r="C37" s="107"/>
      <c r="D37" s="107"/>
      <c r="E37" s="1763"/>
      <c r="F37" s="107"/>
      <c r="G37" s="1853"/>
      <c r="H37" s="107"/>
      <c r="I37" s="107"/>
      <c r="J37" s="107"/>
      <c r="K37" s="1853"/>
      <c r="L37" s="1858"/>
    </row>
    <row r="38" spans="2:12" x14ac:dyDescent="0.2">
      <c r="B38" s="1774"/>
      <c r="C38" s="107"/>
      <c r="D38" s="3034" t="s">
        <v>852</v>
      </c>
      <c r="E38" s="3034"/>
      <c r="F38" s="3034"/>
      <c r="G38" s="1853"/>
      <c r="H38" s="107"/>
      <c r="I38" s="107"/>
      <c r="J38" s="107"/>
      <c r="K38" s="1853"/>
      <c r="L38" s="1858"/>
    </row>
    <row r="39" spans="2:12" ht="14.25" customHeight="1" x14ac:dyDescent="0.2">
      <c r="B39" s="1774"/>
      <c r="C39" s="107"/>
      <c r="D39" s="107"/>
      <c r="E39" s="1763"/>
      <c r="F39" s="107"/>
      <c r="G39" s="1853"/>
      <c r="H39" s="107"/>
      <c r="I39" s="107"/>
      <c r="J39" s="107"/>
      <c r="K39" s="1853"/>
      <c r="L39" s="1858"/>
    </row>
    <row r="40" spans="2:12" x14ac:dyDescent="0.2">
      <c r="B40" s="1774"/>
      <c r="C40" s="107"/>
      <c r="D40" s="1847"/>
      <c r="E40" s="1848" t="s">
        <v>853</v>
      </c>
      <c r="F40" s="1848" t="s">
        <v>854</v>
      </c>
      <c r="G40" s="1853"/>
      <c r="H40" s="107"/>
      <c r="I40" s="107"/>
      <c r="J40" s="107"/>
      <c r="K40" s="1853"/>
      <c r="L40" s="1858"/>
    </row>
    <row r="41" spans="2:12" x14ac:dyDescent="0.2">
      <c r="B41" s="1774"/>
      <c r="C41" s="107"/>
      <c r="D41" s="1850" t="s">
        <v>838</v>
      </c>
      <c r="E41" s="1811">
        <f>PRODUÇÃO!C39/365</f>
        <v>0</v>
      </c>
      <c r="F41" s="1857" t="str">
        <f>PRODUÇÃO!D26</f>
        <v/>
      </c>
      <c r="G41" s="1853"/>
      <c r="H41" s="1853"/>
      <c r="I41" s="1853"/>
      <c r="J41" s="1853"/>
      <c r="K41" s="1853"/>
      <c r="L41" s="1858"/>
    </row>
    <row r="42" spans="2:12" x14ac:dyDescent="0.2">
      <c r="B42" s="1774"/>
      <c r="C42" s="107"/>
      <c r="D42" s="1763"/>
      <c r="E42" s="107"/>
      <c r="F42" s="107"/>
      <c r="G42" s="107"/>
      <c r="H42" s="107"/>
      <c r="I42" s="107"/>
      <c r="J42" s="107"/>
      <c r="K42" s="107"/>
      <c r="L42" s="1784"/>
    </row>
    <row r="43" spans="2:12" x14ac:dyDescent="0.2">
      <c r="B43" s="1774"/>
      <c r="C43" s="107"/>
      <c r="D43" s="2065">
        <f>RESULTADOS!B33</f>
        <v>44013</v>
      </c>
      <c r="E43" s="1789">
        <f>PRODUÇÃO!C27/30</f>
        <v>0</v>
      </c>
      <c r="F43" s="1777">
        <f>PRODUÇÃO!D27</f>
        <v>0</v>
      </c>
      <c r="G43" s="107"/>
      <c r="H43" s="1783" t="s">
        <v>909</v>
      </c>
      <c r="I43" s="1783"/>
      <c r="J43" s="1991" t="str">
        <f>RESULTADOS!D48</f>
        <v/>
      </c>
      <c r="K43" s="107"/>
      <c r="L43" s="1784"/>
    </row>
    <row r="44" spans="2:12" x14ac:dyDescent="0.2">
      <c r="B44" s="1774"/>
      <c r="C44" s="107"/>
      <c r="D44" s="2065">
        <f>RESULTADOS!B34</f>
        <v>44044</v>
      </c>
      <c r="E44" s="1789">
        <f>PRODUÇÃO!C28/30</f>
        <v>0</v>
      </c>
      <c r="F44" s="1777">
        <f>PRODUÇÃO!D28</f>
        <v>0</v>
      </c>
      <c r="G44" s="107"/>
      <c r="H44" s="1783" t="s">
        <v>910</v>
      </c>
      <c r="I44" s="1783"/>
      <c r="J44" s="1991" t="str">
        <f>RESULTADOS!D49</f>
        <v/>
      </c>
      <c r="K44" s="107"/>
      <c r="L44" s="1784"/>
    </row>
    <row r="45" spans="2:12" x14ac:dyDescent="0.2">
      <c r="B45" s="1774"/>
      <c r="C45" s="107"/>
      <c r="D45" s="2065">
        <f>RESULTADOS!B35</f>
        <v>44075</v>
      </c>
      <c r="E45" s="1789">
        <f>PRODUÇÃO!C29/30</f>
        <v>0</v>
      </c>
      <c r="F45" s="1777">
        <f>PRODUÇÃO!D29</f>
        <v>0</v>
      </c>
      <c r="G45" s="107"/>
      <c r="H45" s="1783" t="s">
        <v>911</v>
      </c>
      <c r="I45" s="1783"/>
      <c r="J45" s="1991" t="str">
        <f>RESULTADOS!D50</f>
        <v/>
      </c>
      <c r="K45" s="107"/>
      <c r="L45" s="1784"/>
    </row>
    <row r="46" spans="2:12" x14ac:dyDescent="0.2">
      <c r="B46" s="1774"/>
      <c r="C46" s="107"/>
      <c r="D46" s="2065">
        <f>RESULTADOS!B36</f>
        <v>44106</v>
      </c>
      <c r="E46" s="1789">
        <f>PRODUÇÃO!C30/30</f>
        <v>0</v>
      </c>
      <c r="F46" s="1777">
        <f>PRODUÇÃO!D30</f>
        <v>0</v>
      </c>
      <c r="G46" s="107"/>
      <c r="H46" s="1783"/>
      <c r="I46" s="1783"/>
      <c r="J46" s="1991"/>
      <c r="K46" s="107"/>
      <c r="L46" s="1784"/>
    </row>
    <row r="47" spans="2:12" x14ac:dyDescent="0.2">
      <c r="B47" s="1774"/>
      <c r="C47" s="107"/>
      <c r="D47" s="2065">
        <f>RESULTADOS!B37</f>
        <v>44137</v>
      </c>
      <c r="E47" s="1789">
        <f>PRODUÇÃO!C31/30</f>
        <v>0</v>
      </c>
      <c r="F47" s="1777">
        <f>PRODUÇÃO!D31</f>
        <v>0</v>
      </c>
      <c r="G47" s="107"/>
      <c r="H47" s="1783"/>
      <c r="I47" s="107"/>
      <c r="J47" s="1991"/>
      <c r="K47" s="107"/>
      <c r="L47" s="1784"/>
    </row>
    <row r="48" spans="2:12" x14ac:dyDescent="0.2">
      <c r="B48" s="1774"/>
      <c r="C48" s="107"/>
      <c r="D48" s="2065">
        <f>RESULTADOS!B38</f>
        <v>44168</v>
      </c>
      <c r="E48" s="1789">
        <f>PRODUÇÃO!C32/30</f>
        <v>0</v>
      </c>
      <c r="F48" s="1777">
        <f>PRODUÇÃO!D32</f>
        <v>0</v>
      </c>
      <c r="G48" s="107"/>
      <c r="H48" s="107"/>
      <c r="I48" s="107"/>
      <c r="J48" s="107"/>
      <c r="K48" s="107"/>
      <c r="L48" s="1784"/>
    </row>
    <row r="49" spans="2:12" x14ac:dyDescent="0.2">
      <c r="B49" s="1774"/>
      <c r="C49" s="107"/>
      <c r="D49" s="2065">
        <f>RESULTADOS!B39</f>
        <v>44199</v>
      </c>
      <c r="E49" s="1789">
        <f>PRODUÇÃO!C33/30</f>
        <v>0</v>
      </c>
      <c r="F49" s="1777">
        <f>PRODUÇÃO!D33</f>
        <v>0</v>
      </c>
      <c r="G49" s="107"/>
      <c r="H49" s="107"/>
      <c r="I49" s="107"/>
      <c r="J49" s="2078"/>
      <c r="K49" s="1763"/>
      <c r="L49" s="1784"/>
    </row>
    <row r="50" spans="2:12" x14ac:dyDescent="0.2">
      <c r="B50" s="1774"/>
      <c r="C50" s="107"/>
      <c r="D50" s="2065">
        <f>RESULTADOS!B40</f>
        <v>44230</v>
      </c>
      <c r="E50" s="1789">
        <f>PRODUÇÃO!C34/30</f>
        <v>0</v>
      </c>
      <c r="F50" s="1777">
        <f>PRODUÇÃO!D34</f>
        <v>0</v>
      </c>
      <c r="G50" s="107"/>
      <c r="H50" s="3043" t="s">
        <v>905</v>
      </c>
      <c r="I50" s="3043"/>
      <c r="J50" s="3043"/>
      <c r="K50" s="1763"/>
      <c r="L50" s="1784"/>
    </row>
    <row r="51" spans="2:12" x14ac:dyDescent="0.2">
      <c r="B51" s="1774"/>
      <c r="C51" s="107"/>
      <c r="D51" s="2065">
        <f>RESULTADOS!B41</f>
        <v>44261</v>
      </c>
      <c r="E51" s="1789">
        <f>PRODUÇÃO!C35/30</f>
        <v>0</v>
      </c>
      <c r="F51" s="1777">
        <f>PRODUÇÃO!D35</f>
        <v>0</v>
      </c>
      <c r="G51" s="107"/>
      <c r="H51" s="107"/>
      <c r="I51" s="107"/>
      <c r="J51" s="107"/>
      <c r="K51" s="1763"/>
      <c r="L51" s="1784"/>
    </row>
    <row r="52" spans="2:12" x14ac:dyDescent="0.2">
      <c r="B52" s="1774"/>
      <c r="C52" s="107"/>
      <c r="D52" s="2065">
        <f>RESULTADOS!B42</f>
        <v>44292</v>
      </c>
      <c r="E52" s="1789">
        <f>PRODUÇÃO!C36/30</f>
        <v>0</v>
      </c>
      <c r="F52" s="1777">
        <f>PRODUÇÃO!D36</f>
        <v>0</v>
      </c>
      <c r="G52" s="107"/>
      <c r="H52" s="1783" t="s">
        <v>907</v>
      </c>
      <c r="I52" s="107"/>
      <c r="J52" s="1851" t="e">
        <f>RESULTADOS!H47</f>
        <v>#VALUE!</v>
      </c>
      <c r="K52" s="1763"/>
      <c r="L52" s="1784"/>
    </row>
    <row r="53" spans="2:12" x14ac:dyDescent="0.2">
      <c r="B53" s="1774"/>
      <c r="C53" s="107"/>
      <c r="D53" s="2065">
        <f>RESULTADOS!B43</f>
        <v>44323</v>
      </c>
      <c r="E53" s="1789">
        <f>PRODUÇÃO!C37/30</f>
        <v>0</v>
      </c>
      <c r="F53" s="1777">
        <f>PRODUÇÃO!D37</f>
        <v>0</v>
      </c>
      <c r="G53" s="107"/>
      <c r="H53" s="1783" t="s">
        <v>908</v>
      </c>
      <c r="I53" s="107"/>
      <c r="J53" s="1851">
        <f ca="1">RESULTADOS!H48</f>
        <v>0</v>
      </c>
      <c r="K53" s="1763"/>
      <c r="L53" s="1784"/>
    </row>
    <row r="54" spans="2:12" x14ac:dyDescent="0.2">
      <c r="B54" s="1774"/>
      <c r="C54" s="107"/>
      <c r="D54" s="2065">
        <f>RESULTADOS!B44</f>
        <v>44354</v>
      </c>
      <c r="E54" s="1789">
        <f>PRODUÇÃO!C38/30</f>
        <v>0</v>
      </c>
      <c r="F54" s="1777">
        <f>PRODUÇÃO!D38</f>
        <v>0</v>
      </c>
      <c r="G54" s="107"/>
      <c r="H54" s="1783" t="s">
        <v>906</v>
      </c>
      <c r="I54" s="107"/>
      <c r="J54" s="1851">
        <f>RESULTADOS!H49</f>
        <v>0</v>
      </c>
      <c r="K54" s="1763"/>
      <c r="L54" s="1784"/>
    </row>
    <row r="55" spans="2:12" x14ac:dyDescent="0.2">
      <c r="B55" s="1774"/>
      <c r="C55" s="107"/>
      <c r="D55" s="1763"/>
      <c r="E55" s="1763"/>
      <c r="F55" s="2078"/>
      <c r="G55" s="107"/>
      <c r="H55" s="107"/>
      <c r="I55" s="107"/>
      <c r="J55" s="107"/>
      <c r="K55" s="1763"/>
      <c r="L55" s="1784"/>
    </row>
    <row r="56" spans="2:12" ht="13.5" thickBot="1" x14ac:dyDescent="0.25">
      <c r="B56" s="1774"/>
      <c r="C56" s="107"/>
      <c r="D56" s="107"/>
      <c r="E56" s="1763"/>
      <c r="F56" s="107"/>
      <c r="G56" s="107"/>
      <c r="H56" s="107"/>
      <c r="I56" s="107"/>
      <c r="J56" s="107"/>
      <c r="K56" s="1763"/>
      <c r="L56" s="1784"/>
    </row>
    <row r="57" spans="2:12" ht="13.5" thickBot="1" x14ac:dyDescent="0.25">
      <c r="B57" s="1774"/>
      <c r="C57" s="107"/>
      <c r="D57" s="3040" t="str">
        <f>RESULTADOS!B52</f>
        <v>Margem bruta* (mensal)</v>
      </c>
      <c r="E57" s="3041"/>
      <c r="F57" s="2001" t="e">
        <f>RESULTADOS!D52</f>
        <v>#VALUE!</v>
      </c>
      <c r="G57" s="107"/>
      <c r="H57" s="107"/>
      <c r="I57" s="107"/>
      <c r="J57" s="107"/>
      <c r="K57" s="107"/>
      <c r="L57" s="1784"/>
    </row>
    <row r="58" spans="2:12" x14ac:dyDescent="0.2">
      <c r="B58" s="1774"/>
      <c r="C58" s="107"/>
      <c r="D58" s="2100" t="s">
        <v>945</v>
      </c>
      <c r="E58" s="1763"/>
      <c r="F58" s="2078"/>
      <c r="G58" s="107"/>
      <c r="H58" s="107"/>
      <c r="I58" s="107"/>
      <c r="J58" s="107"/>
      <c r="K58" s="107"/>
      <c r="L58" s="1784"/>
    </row>
    <row r="59" spans="2:12" x14ac:dyDescent="0.2">
      <c r="B59" s="1775"/>
      <c r="C59" s="1785"/>
      <c r="D59" s="1785"/>
      <c r="E59" s="1776"/>
      <c r="F59" s="1852"/>
      <c r="G59" s="1785"/>
      <c r="H59" s="1785"/>
      <c r="I59" s="1785"/>
      <c r="J59" s="1785"/>
      <c r="K59" s="1785"/>
      <c r="L59" s="1786"/>
    </row>
    <row r="60" spans="2:12" x14ac:dyDescent="0.2">
      <c r="F60" s="1781"/>
      <c r="G60"/>
    </row>
    <row r="61" spans="2:12" x14ac:dyDescent="0.2">
      <c r="F61" s="1781"/>
      <c r="G61"/>
    </row>
    <row r="62" spans="2:12" x14ac:dyDescent="0.2">
      <c r="F62" s="1780"/>
      <c r="G62"/>
    </row>
    <row r="63" spans="2:12" x14ac:dyDescent="0.2">
      <c r="F63" s="1781"/>
      <c r="G63"/>
    </row>
    <row r="64" spans="2:12" x14ac:dyDescent="0.2">
      <c r="F64" s="1781"/>
      <c r="G64"/>
    </row>
    <row r="65" spans="6:7" x14ac:dyDescent="0.2">
      <c r="F65" s="1781"/>
      <c r="G65"/>
    </row>
    <row r="66" spans="6:7" x14ac:dyDescent="0.2">
      <c r="F66" s="1781"/>
      <c r="G66" s="1779"/>
    </row>
    <row r="67" spans="6:7" x14ac:dyDescent="0.2">
      <c r="F67" s="1781"/>
      <c r="G67"/>
    </row>
    <row r="68" spans="6:7" x14ac:dyDescent="0.2">
      <c r="F68" s="1781"/>
      <c r="G68"/>
    </row>
    <row r="69" spans="6:7" x14ac:dyDescent="0.2">
      <c r="F69" s="1781"/>
      <c r="G69"/>
    </row>
    <row r="70" spans="6:7" x14ac:dyDescent="0.2">
      <c r="F70" s="1781"/>
      <c r="G70"/>
    </row>
    <row r="71" spans="6:7" x14ac:dyDescent="0.2">
      <c r="F71" s="1781"/>
      <c r="G71"/>
    </row>
    <row r="72" spans="6:7" x14ac:dyDescent="0.2">
      <c r="F72" s="1781"/>
      <c r="G72"/>
    </row>
    <row r="73" spans="6:7" x14ac:dyDescent="0.2">
      <c r="G73"/>
    </row>
    <row r="74" spans="6:7" x14ac:dyDescent="0.2">
      <c r="G74"/>
    </row>
    <row r="75" spans="6:7" x14ac:dyDescent="0.2">
      <c r="G75"/>
    </row>
    <row r="76" spans="6:7" x14ac:dyDescent="0.2">
      <c r="G76"/>
    </row>
    <row r="77" spans="6:7" x14ac:dyDescent="0.2">
      <c r="G77"/>
    </row>
    <row r="85" spans="5:13" x14ac:dyDescent="0.2">
      <c r="K85" s="1782"/>
      <c r="L85" s="1766"/>
      <c r="M85" s="1766"/>
    </row>
    <row r="87" spans="5:13" x14ac:dyDescent="0.2">
      <c r="E87" s="1782"/>
      <c r="F87" s="1780"/>
      <c r="G87" s="1788"/>
    </row>
    <row r="88" spans="5:13" x14ac:dyDescent="0.2">
      <c r="E88" s="1782"/>
      <c r="F88" s="1779"/>
      <c r="G88" s="1788"/>
    </row>
    <row r="89" spans="5:13" x14ac:dyDescent="0.2">
      <c r="E89" s="1782"/>
      <c r="F89" s="1779"/>
      <c r="G89" s="1790"/>
    </row>
    <row r="90" spans="5:13" x14ac:dyDescent="0.2">
      <c r="E90" s="1782"/>
      <c r="F90" s="1779"/>
      <c r="G90" s="1791"/>
    </row>
    <row r="91" spans="5:13" x14ac:dyDescent="0.2">
      <c r="E91" s="1782"/>
      <c r="F91" s="1781"/>
      <c r="G91" s="1792"/>
    </row>
    <row r="92" spans="5:13" x14ac:dyDescent="0.2">
      <c r="E92" s="1782"/>
      <c r="F92" s="1781"/>
      <c r="G92" s="1792"/>
    </row>
    <row r="93" spans="5:13" x14ac:dyDescent="0.2">
      <c r="E93" s="1782"/>
      <c r="F93" s="1781"/>
      <c r="G93" s="1792"/>
    </row>
    <row r="94" spans="5:13" x14ac:dyDescent="0.2">
      <c r="E94" s="1782"/>
      <c r="F94" s="1781"/>
      <c r="G94" s="1792"/>
    </row>
    <row r="95" spans="5:13" x14ac:dyDescent="0.2">
      <c r="E95" s="1782"/>
      <c r="F95" s="1781"/>
      <c r="G95" s="1792"/>
    </row>
    <row r="96" spans="5:13" x14ac:dyDescent="0.2">
      <c r="E96" s="1782"/>
      <c r="F96" s="1781"/>
      <c r="G96" s="1792"/>
    </row>
    <row r="97" spans="4:13" x14ac:dyDescent="0.2">
      <c r="E97" s="1782"/>
      <c r="F97" s="1781"/>
      <c r="G97" s="1792"/>
    </row>
    <row r="98" spans="4:13" x14ac:dyDescent="0.2">
      <c r="E98" s="1782"/>
      <c r="F98" s="1781"/>
      <c r="G98" s="1792"/>
    </row>
    <row r="99" spans="4:13" x14ac:dyDescent="0.2">
      <c r="E99" s="1782"/>
      <c r="F99" s="1781"/>
      <c r="G99" s="1792"/>
    </row>
    <row r="100" spans="4:13" x14ac:dyDescent="0.2">
      <c r="E100" s="1782"/>
      <c r="F100" s="1781"/>
      <c r="G100" s="1792"/>
    </row>
    <row r="101" spans="4:13" x14ac:dyDescent="0.2">
      <c r="E101" s="1782"/>
      <c r="F101" s="1781"/>
      <c r="G101" s="1792"/>
    </row>
    <row r="102" spans="4:13" x14ac:dyDescent="0.2">
      <c r="F102" s="1781"/>
      <c r="G102" s="1792"/>
    </row>
    <row r="104" spans="4:13" x14ac:dyDescent="0.2">
      <c r="E104" s="1782"/>
      <c r="F104" s="1781"/>
      <c r="G104" s="1790"/>
    </row>
    <row r="105" spans="4:13" x14ac:dyDescent="0.2">
      <c r="F105" s="1781"/>
      <c r="G105" s="1778"/>
    </row>
    <row r="106" spans="4:13" x14ac:dyDescent="0.2">
      <c r="F106" s="1758"/>
    </row>
    <row r="107" spans="4:13" x14ac:dyDescent="0.2">
      <c r="F107" s="1758"/>
    </row>
    <row r="108" spans="4:13" x14ac:dyDescent="0.2">
      <c r="F108" s="1758"/>
    </row>
    <row r="109" spans="4:13" x14ac:dyDescent="0.2">
      <c r="F109" s="1758"/>
    </row>
    <row r="110" spans="4:13" x14ac:dyDescent="0.2">
      <c r="F110" s="1758"/>
    </row>
    <row r="111" spans="4:13" x14ac:dyDescent="0.2">
      <c r="F111" s="1758"/>
    </row>
    <row r="112" spans="4:13" s="1758" customFormat="1" x14ac:dyDescent="0.2">
      <c r="D112"/>
      <c r="H112"/>
      <c r="I112"/>
      <c r="J112"/>
      <c r="K112"/>
      <c r="L112"/>
      <c r="M112"/>
    </row>
    <row r="113" spans="4:13" s="1758" customFormat="1" x14ac:dyDescent="0.2">
      <c r="D113"/>
      <c r="H113"/>
      <c r="I113"/>
      <c r="J113"/>
      <c r="K113"/>
      <c r="L113"/>
      <c r="M113"/>
    </row>
    <row r="114" spans="4:13" s="1758" customFormat="1" x14ac:dyDescent="0.2">
      <c r="D114"/>
      <c r="H114"/>
      <c r="I114"/>
      <c r="J114"/>
      <c r="K114"/>
      <c r="L114"/>
      <c r="M114"/>
    </row>
    <row r="115" spans="4:13" s="1758" customFormat="1" x14ac:dyDescent="0.2">
      <c r="D115"/>
      <c r="H115"/>
      <c r="I115"/>
      <c r="J115"/>
      <c r="K115"/>
      <c r="L115"/>
      <c r="M115"/>
    </row>
    <row r="116" spans="4:13" s="1758" customFormat="1" x14ac:dyDescent="0.2">
      <c r="D116"/>
      <c r="H116"/>
      <c r="I116"/>
      <c r="J116"/>
      <c r="K116"/>
      <c r="L116"/>
      <c r="M116"/>
    </row>
    <row r="117" spans="4:13" s="1758" customFormat="1" x14ac:dyDescent="0.2">
      <c r="D117"/>
      <c r="H117"/>
      <c r="I117"/>
      <c r="J117"/>
      <c r="K117"/>
      <c r="L117"/>
      <c r="M117"/>
    </row>
  </sheetData>
  <mergeCells count="11">
    <mergeCell ref="C2:K2"/>
    <mergeCell ref="D7:F7"/>
    <mergeCell ref="H7:J7"/>
    <mergeCell ref="D12:E12"/>
    <mergeCell ref="D13:E13"/>
    <mergeCell ref="D17:F17"/>
    <mergeCell ref="H22:J22"/>
    <mergeCell ref="D57:E57"/>
    <mergeCell ref="H34:J34"/>
    <mergeCell ref="D38:F38"/>
    <mergeCell ref="H50:J50"/>
  </mergeCells>
  <conditionalFormatting sqref="E43:E54">
    <cfRule type="colorScale" priority="4">
      <colorScale>
        <cfvo type="min"/>
        <cfvo type="percentile" val="50"/>
        <cfvo type="max"/>
        <color rgb="FFF8696B"/>
        <color rgb="FFFFEB84"/>
        <color rgb="FF63BE7B"/>
      </colorScale>
    </cfRule>
  </conditionalFormatting>
  <conditionalFormatting sqref="E43:E54 E41">
    <cfRule type="colorScale" priority="3">
      <colorScale>
        <cfvo type="min"/>
        <cfvo type="percentile" val="50"/>
        <cfvo type="max"/>
        <color rgb="FFF8696B"/>
        <color rgb="FFFFEB84"/>
        <color rgb="FF63BE7B"/>
      </colorScale>
    </cfRule>
  </conditionalFormatting>
  <conditionalFormatting sqref="F43:F54">
    <cfRule type="colorScale" priority="2">
      <colorScale>
        <cfvo type="min"/>
        <cfvo type="percentile" val="50"/>
        <cfvo type="max"/>
        <color rgb="FFF8696B"/>
        <color rgb="FFFFEB84"/>
        <color rgb="FF63BE7B"/>
      </colorScale>
    </cfRule>
  </conditionalFormatting>
  <conditionalFormatting sqref="F43:F54 F41">
    <cfRule type="colorScale" priority="1">
      <colorScale>
        <cfvo type="min"/>
        <cfvo type="percentile" val="50"/>
        <cfvo type="max"/>
        <color rgb="FFF8696B"/>
        <color rgb="FFFFEB84"/>
        <color rgb="FF63BE7B"/>
      </colorScale>
    </cfRule>
  </conditionalFormatting>
  <pageMargins left="0.31496062992125984" right="0.31496062992125984" top="0.39370078740157483" bottom="0.3937007874015748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B8"/>
  <sheetViews>
    <sheetView showGridLines="0" zoomScale="160" zoomScaleNormal="160" workbookViewId="0">
      <selection activeCell="B16" sqref="B16"/>
    </sheetView>
  </sheetViews>
  <sheetFormatPr defaultRowHeight="12.75" x14ac:dyDescent="0.2"/>
  <cols>
    <col min="2" max="2" width="137.42578125" bestFit="1" customWidth="1"/>
  </cols>
  <sheetData>
    <row r="2" spans="2:2" ht="13.5" thickBot="1" x14ac:dyDescent="0.25"/>
    <row r="3" spans="2:2" s="1779" customFormat="1" ht="25.5" customHeight="1" x14ac:dyDescent="0.2">
      <c r="B3" s="2714" t="s">
        <v>1084</v>
      </c>
    </row>
    <row r="4" spans="2:2" s="1779" customFormat="1" ht="25.5" customHeight="1" thickBot="1" x14ac:dyDescent="0.25">
      <c r="B4" s="2715" t="s">
        <v>1083</v>
      </c>
    </row>
    <row r="5" spans="2:2" ht="22.5" customHeight="1" thickBot="1" x14ac:dyDescent="0.25">
      <c r="B5" s="2715" t="s">
        <v>1085</v>
      </c>
    </row>
    <row r="6" spans="2:2" ht="22.5" customHeight="1" thickBot="1" x14ac:dyDescent="0.25">
      <c r="B6" s="2715" t="s">
        <v>1086</v>
      </c>
    </row>
    <row r="7" spans="2:2" ht="22.5" customHeight="1" x14ac:dyDescent="0.2">
      <c r="B7" s="3413" t="s">
        <v>1087</v>
      </c>
    </row>
    <row r="8" spans="2:2" ht="22.5" customHeight="1" x14ac:dyDescent="0.2">
      <c r="B8" s="3414" t="s">
        <v>1088</v>
      </c>
    </row>
  </sheetData>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6"/>
  <dimension ref="A1:M320"/>
  <sheetViews>
    <sheetView view="pageBreakPreview" topLeftCell="A154" zoomScale="60" zoomScaleNormal="50" workbookViewId="0">
      <selection activeCell="B193" sqref="B193"/>
    </sheetView>
  </sheetViews>
  <sheetFormatPr defaultRowHeight="15" x14ac:dyDescent="0.2"/>
  <cols>
    <col min="1" max="1" width="113.42578125" style="524" customWidth="1"/>
    <col min="2" max="2" width="30.85546875" style="542" customWidth="1"/>
    <col min="3" max="3" width="19.7109375" style="524" customWidth="1"/>
    <col min="4" max="4" width="15.28515625" style="523" hidden="1" customWidth="1"/>
    <col min="5" max="5" width="13.5703125" style="524" hidden="1" customWidth="1"/>
    <col min="6" max="6" width="10.28515625" style="524" hidden="1" customWidth="1"/>
    <col min="7" max="7" width="12" style="524" hidden="1" customWidth="1"/>
    <col min="8" max="9" width="0" style="524" hidden="1" customWidth="1"/>
    <col min="10" max="10" width="10.28515625" style="524" hidden="1" customWidth="1"/>
    <col min="11" max="11" width="16.85546875" style="523" bestFit="1" customWidth="1"/>
    <col min="12" max="16384" width="9.140625" style="524"/>
  </cols>
  <sheetData>
    <row r="1" spans="1:13" ht="15.75" thickBot="1" x14ac:dyDescent="0.25">
      <c r="A1" s="1436"/>
      <c r="B1" s="1437"/>
      <c r="C1" s="1436"/>
      <c r="D1" s="522"/>
      <c r="E1" s="522"/>
      <c r="F1" s="522"/>
      <c r="G1" s="520"/>
      <c r="H1" s="520"/>
      <c r="I1" s="520"/>
      <c r="J1" s="520"/>
      <c r="L1" s="523"/>
      <c r="M1" s="523"/>
    </row>
    <row r="2" spans="1:13" ht="24" thickBot="1" x14ac:dyDescent="0.4">
      <c r="A2" s="3052" t="s">
        <v>168</v>
      </c>
      <c r="B2" s="3053"/>
      <c r="C2" s="3054"/>
      <c r="D2" s="522"/>
      <c r="E2" s="522"/>
      <c r="F2" s="522"/>
      <c r="G2" s="520"/>
      <c r="H2" s="520"/>
      <c r="I2" s="520"/>
      <c r="J2" s="520"/>
      <c r="K2" s="624" t="s">
        <v>56</v>
      </c>
      <c r="L2" s="523"/>
      <c r="M2" s="523"/>
    </row>
    <row r="3" spans="1:13" ht="15.75" x14ac:dyDescent="0.25">
      <c r="A3" s="1540" t="str">
        <f>CADASTRO!C4</f>
        <v>Digitar o nome</v>
      </c>
      <c r="B3" s="1541">
        <f>CADASTRO!C12</f>
        <v>44013</v>
      </c>
      <c r="C3" s="1542"/>
      <c r="D3" s="522"/>
      <c r="E3" s="522"/>
      <c r="F3" s="525"/>
      <c r="G3" s="520"/>
      <c r="H3" s="520"/>
      <c r="I3" s="520"/>
      <c r="J3" s="520"/>
      <c r="K3" s="624" t="s">
        <v>56</v>
      </c>
      <c r="L3" s="523"/>
      <c r="M3" s="523"/>
    </row>
    <row r="4" spans="1:13" ht="15.75" x14ac:dyDescent="0.25">
      <c r="A4" s="1509" t="s">
        <v>695</v>
      </c>
      <c r="B4" s="1410" t="s">
        <v>87</v>
      </c>
      <c r="C4" s="1510" t="s">
        <v>88</v>
      </c>
      <c r="D4" s="522"/>
      <c r="E4" s="522"/>
      <c r="F4" s="522"/>
      <c r="G4" s="520"/>
      <c r="H4" s="520"/>
      <c r="I4" s="520"/>
      <c r="J4" s="520"/>
      <c r="K4" s="624" t="s">
        <v>56</v>
      </c>
      <c r="L4" s="523"/>
      <c r="M4" s="523"/>
    </row>
    <row r="5" spans="1:13" ht="15.75" x14ac:dyDescent="0.25">
      <c r="A5" s="1507" t="s">
        <v>412</v>
      </c>
      <c r="B5" s="1409" t="e">
        <f>PRODUÇÃO!V28</f>
        <v>#VALUE!</v>
      </c>
      <c r="C5" s="1511" t="e">
        <f>B5/B$7</f>
        <v>#VALUE!</v>
      </c>
      <c r="D5" s="522"/>
      <c r="E5" s="522"/>
      <c r="F5" s="522"/>
      <c r="G5" s="520"/>
      <c r="H5" s="520"/>
      <c r="I5" s="520"/>
      <c r="J5" s="520"/>
      <c r="K5" s="624" t="s">
        <v>56</v>
      </c>
      <c r="L5" s="523"/>
      <c r="M5" s="523"/>
    </row>
    <row r="6" spans="1:13" ht="15.75" x14ac:dyDescent="0.25">
      <c r="A6" s="1512" t="s">
        <v>265</v>
      </c>
      <c r="B6" s="1409" t="e">
        <f>PRODUÇÃO!V29</f>
        <v>#VALUE!</v>
      </c>
      <c r="C6" s="1511" t="e">
        <f>B6/B$7</f>
        <v>#VALUE!</v>
      </c>
      <c r="D6" s="522"/>
      <c r="E6" s="522"/>
      <c r="F6" s="522"/>
      <c r="G6" s="520"/>
      <c r="H6" s="520"/>
      <c r="I6" s="520"/>
      <c r="J6" s="520"/>
      <c r="K6" s="624" t="s">
        <v>56</v>
      </c>
      <c r="L6" s="523"/>
      <c r="M6" s="523"/>
    </row>
    <row r="7" spans="1:13" ht="15.75" x14ac:dyDescent="0.25">
      <c r="A7" s="1507" t="s">
        <v>89</v>
      </c>
      <c r="B7" s="1411" t="e">
        <f>SUM(B5:B6)</f>
        <v>#VALUE!</v>
      </c>
      <c r="C7" s="1513" t="e">
        <f>SUM(C5:C6)</f>
        <v>#VALUE!</v>
      </c>
      <c r="D7" s="522"/>
      <c r="E7" s="522"/>
      <c r="F7" s="522"/>
      <c r="G7" s="520"/>
      <c r="H7" s="520"/>
      <c r="I7" s="520"/>
      <c r="J7" s="520"/>
      <c r="K7" s="624" t="s">
        <v>56</v>
      </c>
      <c r="L7" s="523"/>
      <c r="M7" s="523"/>
    </row>
    <row r="8" spans="1:13" ht="15.75" x14ac:dyDescent="0.25">
      <c r="A8" s="1514" t="s">
        <v>690</v>
      </c>
      <c r="B8" s="1411"/>
      <c r="C8" s="1508"/>
      <c r="D8" s="520"/>
      <c r="E8" s="520"/>
      <c r="F8" s="522"/>
      <c r="G8" s="520"/>
      <c r="H8" s="520"/>
      <c r="I8" s="520"/>
      <c r="J8" s="520"/>
      <c r="K8" s="624" t="s">
        <v>56</v>
      </c>
      <c r="L8" s="523"/>
      <c r="M8" s="523"/>
    </row>
    <row r="9" spans="1:13" ht="15.75" x14ac:dyDescent="0.25">
      <c r="A9" s="1515" t="s">
        <v>587</v>
      </c>
      <c r="B9" s="1409">
        <f>'DESPESAS (Agr.)'!I412+'DESPESAS (Gado)'!H37+'A. DESPESAS (Outras)'!D88+'H. proces. caseiro alimentos'!E23</f>
        <v>0</v>
      </c>
      <c r="C9" s="1516">
        <f>B9/$B$18</f>
        <v>0</v>
      </c>
      <c r="D9" s="520"/>
      <c r="E9" s="520"/>
      <c r="F9" s="527"/>
      <c r="G9" s="520"/>
      <c r="H9" s="520"/>
      <c r="I9" s="520"/>
      <c r="J9" s="528"/>
      <c r="K9" s="624" t="s">
        <v>56</v>
      </c>
      <c r="L9" s="523"/>
      <c r="M9" s="523"/>
    </row>
    <row r="10" spans="1:13" ht="15.75" x14ac:dyDescent="0.25">
      <c r="A10" s="1515" t="s">
        <v>331</v>
      </c>
      <c r="B10" s="1409">
        <f>'C. MÁQ.'!L24</f>
        <v>0</v>
      </c>
      <c r="C10" s="1516">
        <f>B10/$B$18</f>
        <v>0</v>
      </c>
      <c r="D10" s="520"/>
      <c r="E10" s="520"/>
      <c r="F10" s="527"/>
      <c r="G10" s="520"/>
      <c r="H10" s="520"/>
      <c r="I10" s="520"/>
      <c r="J10" s="528"/>
      <c r="K10" s="624" t="s">
        <v>56</v>
      </c>
      <c r="L10" s="523"/>
      <c r="M10" s="523"/>
    </row>
    <row r="11" spans="1:13" ht="15.75" x14ac:dyDescent="0.25">
      <c r="A11" s="1515" t="s">
        <v>301</v>
      </c>
      <c r="B11" s="1409">
        <f>'D. INSTAL.'!L23</f>
        <v>0</v>
      </c>
      <c r="C11" s="1516">
        <f>B11/$B$18</f>
        <v>0</v>
      </c>
      <c r="D11" s="520"/>
      <c r="E11" s="520"/>
      <c r="F11" s="527"/>
      <c r="G11" s="520"/>
      <c r="H11" s="520"/>
      <c r="I11" s="520"/>
      <c r="J11" s="528"/>
      <c r="K11" s="624" t="s">
        <v>56</v>
      </c>
      <c r="L11" s="523"/>
      <c r="M11" s="523"/>
    </row>
    <row r="12" spans="1:13" ht="15.75" x14ac:dyDescent="0.25">
      <c r="A12" s="1515" t="s">
        <v>414</v>
      </c>
      <c r="B12" s="1409">
        <f>M.oBRA!F36</f>
        <v>0</v>
      </c>
      <c r="C12" s="1516">
        <f>B12/$B$18</f>
        <v>0</v>
      </c>
      <c r="D12" s="520"/>
      <c r="E12" s="520"/>
      <c r="F12" s="527"/>
      <c r="G12" s="520"/>
      <c r="H12" s="520"/>
      <c r="I12" s="520"/>
      <c r="J12" s="528"/>
      <c r="K12" s="624" t="s">
        <v>56</v>
      </c>
      <c r="L12" s="523"/>
      <c r="M12" s="523"/>
    </row>
    <row r="13" spans="1:13" ht="15.75" x14ac:dyDescent="0.25">
      <c r="A13" s="1515" t="s">
        <v>302</v>
      </c>
      <c r="B13" s="1409">
        <f>'OUTROS CUSTOS'!B15</f>
        <v>0</v>
      </c>
      <c r="C13" s="1516">
        <f>B13/$B$18</f>
        <v>0</v>
      </c>
      <c r="D13" s="522"/>
      <c r="E13" s="522"/>
      <c r="F13" s="527"/>
      <c r="G13" s="520"/>
      <c r="H13" s="520"/>
      <c r="I13" s="520"/>
      <c r="J13" s="528"/>
      <c r="K13" s="624" t="s">
        <v>56</v>
      </c>
      <c r="L13" s="523"/>
      <c r="M13" s="523"/>
    </row>
    <row r="14" spans="1:13" ht="15.75" x14ac:dyDescent="0.25">
      <c r="A14" s="1515"/>
      <c r="B14" s="1409"/>
      <c r="C14" s="1516"/>
      <c r="D14" s="522"/>
      <c r="E14" s="522"/>
      <c r="F14" s="527"/>
      <c r="G14" s="520"/>
      <c r="H14" s="520"/>
      <c r="I14" s="520"/>
      <c r="J14" s="528"/>
      <c r="K14" s="624"/>
      <c r="L14" s="523"/>
      <c r="M14" s="523"/>
    </row>
    <row r="15" spans="1:13" ht="15.75" x14ac:dyDescent="0.25">
      <c r="A15" s="1507" t="s">
        <v>264</v>
      </c>
      <c r="B15" s="1412">
        <f>SUM(B9:B13)</f>
        <v>0</v>
      </c>
      <c r="C15" s="1516"/>
      <c r="D15" s="522"/>
      <c r="E15" s="522"/>
      <c r="F15" s="527"/>
      <c r="G15" s="520"/>
      <c r="H15" s="520"/>
      <c r="I15" s="520"/>
      <c r="J15" s="528"/>
      <c r="K15" s="624" t="s">
        <v>56</v>
      </c>
      <c r="L15" s="523"/>
      <c r="M15" s="523"/>
    </row>
    <row r="16" spans="1:13" ht="15.75" x14ac:dyDescent="0.25">
      <c r="A16" s="1514" t="s">
        <v>691</v>
      </c>
      <c r="B16" s="1411">
        <f>'C. MÁQ.'!H24+'D. INSTAL.'!F23</f>
        <v>5805</v>
      </c>
      <c r="C16" s="1516">
        <f>B16/$B$18</f>
        <v>1</v>
      </c>
      <c r="D16" s="522"/>
      <c r="E16" s="522"/>
      <c r="F16" s="527"/>
      <c r="G16" s="520"/>
      <c r="H16" s="520"/>
      <c r="I16" s="520"/>
      <c r="J16" s="520"/>
      <c r="K16" s="624" t="s">
        <v>56</v>
      </c>
      <c r="L16" s="523"/>
      <c r="M16" s="523"/>
    </row>
    <row r="17" spans="1:13" ht="15.75" x14ac:dyDescent="0.25">
      <c r="A17" s="1517"/>
      <c r="B17" s="1411"/>
      <c r="C17" s="1516"/>
      <c r="D17" s="522"/>
      <c r="E17" s="522"/>
      <c r="F17" s="527"/>
      <c r="G17" s="520"/>
      <c r="H17" s="520"/>
      <c r="I17" s="520"/>
      <c r="J17" s="520"/>
      <c r="K17" s="624" t="s">
        <v>56</v>
      </c>
      <c r="L17" s="523"/>
      <c r="M17" s="523"/>
    </row>
    <row r="18" spans="1:13" ht="15.75" x14ac:dyDescent="0.25">
      <c r="A18" s="1518" t="s">
        <v>692</v>
      </c>
      <c r="B18" s="1411">
        <f>B15+B16</f>
        <v>5805</v>
      </c>
      <c r="C18" s="1516">
        <f>B18/$B$18</f>
        <v>1</v>
      </c>
      <c r="D18" s="522"/>
      <c r="E18" s="522"/>
      <c r="F18" s="527"/>
      <c r="G18" s="520"/>
      <c r="H18" s="520"/>
      <c r="I18" s="520"/>
      <c r="J18" s="520"/>
      <c r="K18" s="624" t="s">
        <v>56</v>
      </c>
      <c r="L18" s="523"/>
      <c r="M18" s="523"/>
    </row>
    <row r="19" spans="1:13" ht="15.75" x14ac:dyDescent="0.25">
      <c r="A19" s="1518"/>
      <c r="B19" s="1411"/>
      <c r="C19" s="1516"/>
      <c r="D19" s="522"/>
      <c r="E19" s="522"/>
      <c r="F19" s="527"/>
      <c r="G19" s="520"/>
      <c r="H19" s="520"/>
      <c r="I19" s="520"/>
      <c r="J19" s="520"/>
      <c r="K19" s="624" t="s">
        <v>56</v>
      </c>
      <c r="L19" s="523"/>
      <c r="M19" s="523"/>
    </row>
    <row r="20" spans="1:13" ht="15.75" x14ac:dyDescent="0.25">
      <c r="A20" s="1514" t="s">
        <v>270</v>
      </c>
      <c r="B20" s="1411"/>
      <c r="C20" s="1516"/>
      <c r="D20" s="522"/>
      <c r="E20" s="522"/>
      <c r="F20" s="530"/>
      <c r="G20" s="520"/>
      <c r="H20" s="520"/>
      <c r="I20" s="520"/>
      <c r="J20" s="520"/>
      <c r="K20" s="624" t="s">
        <v>56</v>
      </c>
      <c r="L20" s="523"/>
      <c r="M20" s="523"/>
    </row>
    <row r="21" spans="1:13" ht="15.75" x14ac:dyDescent="0.25">
      <c r="A21" s="1519" t="s">
        <v>694</v>
      </c>
      <c r="B21" s="1412" t="e">
        <f>B7-B15</f>
        <v>#VALUE!</v>
      </c>
      <c r="C21" s="1520"/>
      <c r="D21" s="531"/>
      <c r="E21" s="522"/>
      <c r="F21" s="522"/>
      <c r="G21" s="520"/>
      <c r="H21" s="520"/>
      <c r="I21" s="520"/>
      <c r="J21" s="520"/>
      <c r="K21" s="624" t="s">
        <v>56</v>
      </c>
      <c r="L21" s="523"/>
      <c r="M21" s="523"/>
    </row>
    <row r="22" spans="1:13" ht="15.75" x14ac:dyDescent="0.25">
      <c r="A22" s="1519" t="s">
        <v>693</v>
      </c>
      <c r="B22" s="1411" t="e">
        <f>B21-B16</f>
        <v>#VALUE!</v>
      </c>
      <c r="C22" s="1520"/>
      <c r="D22" s="522"/>
      <c r="E22" s="522"/>
      <c r="F22" s="522"/>
      <c r="G22" s="520"/>
      <c r="H22" s="520"/>
      <c r="I22" s="520"/>
      <c r="J22" s="520"/>
      <c r="K22" s="624" t="s">
        <v>56</v>
      </c>
      <c r="L22" s="523"/>
      <c r="M22" s="523"/>
    </row>
    <row r="23" spans="1:13" ht="15.75" x14ac:dyDescent="0.25">
      <c r="A23" s="1519" t="s">
        <v>173</v>
      </c>
      <c r="B23" s="1411">
        <f>PRODUÇÃO!N14</f>
        <v>0</v>
      </c>
      <c r="C23" s="1520"/>
      <c r="D23" s="522"/>
      <c r="E23" s="522"/>
      <c r="F23" s="522"/>
      <c r="G23" s="520"/>
      <c r="H23" s="520"/>
      <c r="I23" s="520"/>
      <c r="J23" s="520"/>
      <c r="K23" s="624" t="s">
        <v>56</v>
      </c>
      <c r="L23" s="523"/>
      <c r="M23" s="523"/>
    </row>
    <row r="24" spans="1:13" ht="15.75" x14ac:dyDescent="0.25">
      <c r="A24" s="1519" t="s">
        <v>174</v>
      </c>
      <c r="B24" s="1412" t="e">
        <f>B22+B23</f>
        <v>#VALUE!</v>
      </c>
      <c r="C24" s="1520"/>
      <c r="D24" s="522"/>
      <c r="E24" s="522"/>
      <c r="F24" s="522"/>
      <c r="G24" s="520"/>
      <c r="H24" s="520"/>
      <c r="I24" s="520"/>
      <c r="J24" s="520"/>
      <c r="K24" s="624" t="s">
        <v>56</v>
      </c>
      <c r="L24" s="523"/>
      <c r="M24" s="523"/>
    </row>
    <row r="25" spans="1:13" ht="16.5" thickBot="1" x14ac:dyDescent="0.3">
      <c r="A25" s="1521"/>
      <c r="B25" s="1522"/>
      <c r="C25" s="1523"/>
      <c r="D25" s="522"/>
      <c r="E25" s="522"/>
      <c r="F25" s="522"/>
      <c r="G25" s="520"/>
      <c r="H25" s="520"/>
      <c r="I25" s="520"/>
      <c r="J25" s="520"/>
      <c r="K25" s="624" t="s">
        <v>56</v>
      </c>
      <c r="L25" s="523"/>
      <c r="M25" s="523"/>
    </row>
    <row r="26" spans="1:13" ht="16.5" thickBot="1" x14ac:dyDescent="0.3">
      <c r="A26" s="1505"/>
      <c r="B26" s="1506"/>
      <c r="C26" s="1505"/>
      <c r="D26" s="522"/>
      <c r="E26" s="522"/>
      <c r="F26" s="522"/>
      <c r="G26" s="520"/>
      <c r="H26" s="520"/>
      <c r="I26" s="520"/>
      <c r="J26" s="520"/>
      <c r="K26" s="624" t="s">
        <v>56</v>
      </c>
      <c r="L26" s="523"/>
      <c r="M26" s="523"/>
    </row>
    <row r="27" spans="1:13" ht="24" thickBot="1" x14ac:dyDescent="0.4">
      <c r="A27" s="3058" t="s">
        <v>90</v>
      </c>
      <c r="B27" s="3059"/>
      <c r="C27" s="3060"/>
      <c r="D27" s="522"/>
      <c r="E27" s="522"/>
      <c r="F27" s="522"/>
      <c r="G27" s="520"/>
      <c r="H27" s="520"/>
      <c r="I27" s="520"/>
      <c r="J27" s="520"/>
      <c r="K27" s="624" t="s">
        <v>56</v>
      </c>
      <c r="L27" s="523"/>
      <c r="M27" s="523"/>
    </row>
    <row r="28" spans="1:13" ht="15.75" x14ac:dyDescent="0.25">
      <c r="A28" s="3055" t="s">
        <v>696</v>
      </c>
      <c r="B28" s="3056"/>
      <c r="C28" s="3057"/>
      <c r="D28" s="522"/>
      <c r="E28" s="522"/>
      <c r="F28" s="522"/>
      <c r="G28" s="520"/>
      <c r="H28" s="520"/>
      <c r="I28" s="520"/>
      <c r="J28" s="520"/>
      <c r="K28" s="624" t="s">
        <v>56</v>
      </c>
      <c r="L28" s="523"/>
      <c r="M28" s="523"/>
    </row>
    <row r="29" spans="1:13" ht="15.75" x14ac:dyDescent="0.25">
      <c r="A29" s="1488" t="s">
        <v>169</v>
      </c>
      <c r="B29" s="1414" t="s">
        <v>87</v>
      </c>
      <c r="C29" s="1489" t="s">
        <v>88</v>
      </c>
      <c r="D29" s="522"/>
      <c r="E29" s="522"/>
      <c r="F29" s="522"/>
      <c r="G29" s="520"/>
      <c r="H29" s="520"/>
      <c r="I29" s="520"/>
      <c r="J29" s="520"/>
      <c r="K29" s="624" t="s">
        <v>56</v>
      </c>
      <c r="L29" s="523"/>
      <c r="M29" s="523"/>
    </row>
    <row r="30" spans="1:13" ht="15.75" x14ac:dyDescent="0.25">
      <c r="A30" s="1490" t="s">
        <v>413</v>
      </c>
      <c r="B30" s="1414">
        <f>PRODUÇÃO!F39</f>
        <v>0</v>
      </c>
      <c r="C30" s="1491">
        <f>B30/$B$40</f>
        <v>0</v>
      </c>
      <c r="D30" s="522"/>
      <c r="E30" s="522"/>
      <c r="F30" s="522"/>
      <c r="G30" s="520"/>
      <c r="H30" s="520"/>
      <c r="I30" s="520"/>
      <c r="J30" s="520"/>
      <c r="K30" s="624" t="s">
        <v>56</v>
      </c>
      <c r="L30" s="523"/>
      <c r="M30" s="523"/>
    </row>
    <row r="31" spans="1:13" ht="15.75" x14ac:dyDescent="0.25">
      <c r="A31" s="1490" t="s">
        <v>199</v>
      </c>
      <c r="B31" s="1414">
        <f>PRODUÇÃO!R91</f>
        <v>0</v>
      </c>
      <c r="C31" s="1491">
        <f t="shared" ref="C31:C39" si="0">B31/$B$40</f>
        <v>0</v>
      </c>
      <c r="D31" s="522"/>
      <c r="E31" s="522"/>
      <c r="F31" s="522"/>
      <c r="G31" s="520"/>
      <c r="H31" s="520"/>
      <c r="I31" s="520"/>
      <c r="J31" s="520"/>
      <c r="K31" s="624" t="s">
        <v>56</v>
      </c>
      <c r="L31" s="523"/>
      <c r="M31" s="523"/>
    </row>
    <row r="32" spans="1:13" ht="15.75" x14ac:dyDescent="0.25">
      <c r="A32" s="1490" t="s">
        <v>91</v>
      </c>
      <c r="B32" s="1414">
        <f>PRODUÇÃO!AD68</f>
        <v>5400</v>
      </c>
      <c r="C32" s="1491">
        <f t="shared" si="0"/>
        <v>0.35526315789473684</v>
      </c>
      <c r="D32" s="522"/>
      <c r="E32" s="522"/>
      <c r="F32" s="522"/>
      <c r="G32" s="520"/>
      <c r="H32" s="520"/>
      <c r="I32" s="520"/>
      <c r="J32" s="520"/>
      <c r="K32" s="624" t="s">
        <v>56</v>
      </c>
      <c r="L32" s="523"/>
      <c r="M32" s="523"/>
    </row>
    <row r="33" spans="1:13" ht="15.75" x14ac:dyDescent="0.25">
      <c r="A33" s="1490" t="s">
        <v>92</v>
      </c>
      <c r="B33" s="1414">
        <f>PRODUÇÃO!AD69</f>
        <v>7000</v>
      </c>
      <c r="C33" s="1491">
        <f t="shared" si="0"/>
        <v>0.46052631578947367</v>
      </c>
      <c r="D33" s="522"/>
      <c r="E33" s="522"/>
      <c r="F33" s="522"/>
      <c r="G33" s="520"/>
      <c r="H33" s="520"/>
      <c r="I33" s="520"/>
      <c r="J33" s="520"/>
      <c r="K33" s="624" t="s">
        <v>56</v>
      </c>
      <c r="L33" s="523"/>
      <c r="M33" s="523"/>
    </row>
    <row r="34" spans="1:13" ht="15.75" x14ac:dyDescent="0.25">
      <c r="A34" s="1490" t="s">
        <v>93</v>
      </c>
      <c r="B34" s="1414">
        <f>PRODUÇÃO!AD75</f>
        <v>0</v>
      </c>
      <c r="C34" s="1491">
        <f t="shared" si="0"/>
        <v>0</v>
      </c>
      <c r="D34" s="522"/>
      <c r="E34" s="522"/>
      <c r="F34" s="522"/>
      <c r="G34" s="520"/>
      <c r="H34" s="520"/>
      <c r="I34" s="520"/>
      <c r="J34" s="520"/>
      <c r="K34" s="624" t="s">
        <v>56</v>
      </c>
      <c r="L34" s="523"/>
      <c r="M34" s="523"/>
    </row>
    <row r="35" spans="1:13" ht="15.75" x14ac:dyDescent="0.25">
      <c r="A35" s="1490" t="s">
        <v>151</v>
      </c>
      <c r="B35" s="1414" t="e">
        <f>PRODUÇÃO!F40</f>
        <v>#VALUE!</v>
      </c>
      <c r="C35" s="1491" t="e">
        <f t="shared" si="0"/>
        <v>#VALUE!</v>
      </c>
      <c r="D35" s="522"/>
      <c r="E35" s="522"/>
      <c r="F35" s="522"/>
      <c r="G35" s="520"/>
      <c r="H35" s="520"/>
      <c r="I35" s="520"/>
      <c r="J35" s="520"/>
      <c r="K35" s="624" t="s">
        <v>56</v>
      </c>
      <c r="L35" s="523"/>
      <c r="M35" s="523"/>
    </row>
    <row r="36" spans="1:13" ht="15.75" x14ac:dyDescent="0.25">
      <c r="A36" s="1490" t="s">
        <v>200</v>
      </c>
      <c r="B36" s="1414">
        <f>PRODUÇÃO!S91</f>
        <v>0</v>
      </c>
      <c r="C36" s="1491">
        <f t="shared" si="0"/>
        <v>0</v>
      </c>
      <c r="D36" s="522"/>
      <c r="E36" s="522"/>
      <c r="F36" s="522"/>
      <c r="G36" s="520"/>
      <c r="H36" s="520"/>
      <c r="I36" s="520"/>
      <c r="J36" s="520"/>
      <c r="K36" s="624" t="s">
        <v>56</v>
      </c>
      <c r="L36" s="523"/>
      <c r="M36" s="523"/>
    </row>
    <row r="37" spans="1:13" ht="15.75" x14ac:dyDescent="0.25">
      <c r="A37" s="1490" t="s">
        <v>152</v>
      </c>
      <c r="B37" s="1416">
        <f>PRODUÇÃO!AE68</f>
        <v>0</v>
      </c>
      <c r="C37" s="1491">
        <f t="shared" si="0"/>
        <v>0</v>
      </c>
      <c r="D37" s="522"/>
      <c r="E37" s="522"/>
      <c r="F37" s="522"/>
      <c r="G37" s="520"/>
      <c r="H37" s="520"/>
      <c r="I37" s="520"/>
      <c r="J37" s="520"/>
      <c r="K37" s="624" t="s">
        <v>56</v>
      </c>
      <c r="L37" s="523"/>
      <c r="M37" s="523"/>
    </row>
    <row r="38" spans="1:13" ht="15.75" x14ac:dyDescent="0.25">
      <c r="A38" s="1490" t="s">
        <v>153</v>
      </c>
      <c r="B38" s="1416">
        <f>PRODUÇÃO!AE69</f>
        <v>0</v>
      </c>
      <c r="C38" s="1491">
        <f t="shared" si="0"/>
        <v>0</v>
      </c>
      <c r="D38" s="520"/>
      <c r="E38" s="522"/>
      <c r="F38" s="522"/>
      <c r="G38" s="520"/>
      <c r="H38" s="520"/>
      <c r="I38" s="520"/>
      <c r="J38" s="520"/>
      <c r="K38" s="624" t="s">
        <v>56</v>
      </c>
      <c r="L38" s="523"/>
      <c r="M38" s="523"/>
    </row>
    <row r="39" spans="1:13" ht="15.75" x14ac:dyDescent="0.25">
      <c r="A39" s="1490" t="s">
        <v>154</v>
      </c>
      <c r="B39" s="1417">
        <f>PRODUÇÃO!AE75</f>
        <v>2800</v>
      </c>
      <c r="C39" s="1491">
        <f t="shared" si="0"/>
        <v>0.18421052631578946</v>
      </c>
      <c r="D39" s="520"/>
      <c r="E39" s="522"/>
      <c r="F39" s="522"/>
      <c r="G39" s="520"/>
      <c r="H39" s="520"/>
      <c r="I39" s="520"/>
      <c r="J39" s="520"/>
      <c r="K39" s="624" t="s">
        <v>56</v>
      </c>
      <c r="L39" s="523"/>
      <c r="M39" s="523"/>
    </row>
    <row r="40" spans="1:13" ht="15.75" x14ac:dyDescent="0.25">
      <c r="A40" s="1492" t="s">
        <v>60</v>
      </c>
      <c r="B40" s="1417">
        <f>SUMIF(B30:B39,"&gt;0",B30:B39)</f>
        <v>15200</v>
      </c>
      <c r="C40" s="1491">
        <f>B40/$B$40</f>
        <v>1</v>
      </c>
      <c r="D40" s="520"/>
      <c r="E40" s="522"/>
      <c r="F40" s="522"/>
      <c r="G40" s="520"/>
      <c r="H40" s="520"/>
      <c r="I40" s="520"/>
      <c r="J40" s="520"/>
      <c r="K40" s="624" t="s">
        <v>56</v>
      </c>
      <c r="L40" s="523"/>
      <c r="M40" s="523"/>
    </row>
    <row r="41" spans="1:13" ht="15.75" x14ac:dyDescent="0.25">
      <c r="A41" s="1490"/>
      <c r="B41" s="1417"/>
      <c r="C41" s="1493"/>
      <c r="D41" s="520"/>
      <c r="E41" s="520"/>
      <c r="F41" s="520"/>
      <c r="G41" s="520"/>
      <c r="H41" s="520"/>
      <c r="I41" s="520"/>
      <c r="J41" s="520"/>
      <c r="K41" s="624" t="s">
        <v>56</v>
      </c>
      <c r="L41" s="523"/>
      <c r="M41" s="523"/>
    </row>
    <row r="42" spans="1:13" ht="15.75" x14ac:dyDescent="0.25">
      <c r="A42" s="1494" t="s">
        <v>697</v>
      </c>
      <c r="B42" s="1417"/>
      <c r="C42" s="1495"/>
      <c r="D42" s="520"/>
      <c r="E42" s="520"/>
      <c r="F42" s="520"/>
      <c r="G42" s="520"/>
      <c r="H42" s="520"/>
      <c r="I42" s="520"/>
      <c r="J42" s="520"/>
      <c r="K42" s="624" t="s">
        <v>56</v>
      </c>
      <c r="L42" s="523"/>
      <c r="M42" s="523"/>
    </row>
    <row r="43" spans="1:13" ht="15.75" x14ac:dyDescent="0.25">
      <c r="A43" s="1496" t="s">
        <v>303</v>
      </c>
      <c r="B43" s="1421">
        <f ca="1">'resumo gastos CULTIVOS'!D57+'resumo gastos CULTIVOS'!F57+'resumo gastos CULTIVOS'!H57+'resumo gastos CULTIVOS'!J57</f>
        <v>0</v>
      </c>
      <c r="C43" s="1497">
        <f ca="1">B43/$B$65</f>
        <v>0</v>
      </c>
      <c r="D43" s="528"/>
      <c r="E43" s="528"/>
      <c r="F43" s="520"/>
      <c r="G43" s="520"/>
      <c r="H43" s="520"/>
      <c r="I43" s="520"/>
      <c r="J43" s="520"/>
      <c r="K43" s="624" t="s">
        <v>56</v>
      </c>
      <c r="L43" s="523"/>
      <c r="M43" s="523"/>
    </row>
    <row r="44" spans="1:13" ht="15.75" x14ac:dyDescent="0.25">
      <c r="A44" s="1490" t="s">
        <v>267</v>
      </c>
      <c r="B44" s="1416">
        <f>'DESPESAS (Gado)'!G20</f>
        <v>0</v>
      </c>
      <c r="C44" s="1497">
        <f t="shared" ref="C44:C57" ca="1" si="1">B44/$B$65</f>
        <v>0</v>
      </c>
      <c r="D44" s="520"/>
      <c r="E44" s="520"/>
      <c r="F44" s="520"/>
      <c r="G44" s="520"/>
      <c r="H44" s="520"/>
      <c r="I44" s="520"/>
      <c r="J44" s="520"/>
      <c r="K44" s="624" t="s">
        <v>56</v>
      </c>
      <c r="L44" s="523"/>
      <c r="M44" s="523"/>
    </row>
    <row r="45" spans="1:13" ht="15.75" x14ac:dyDescent="0.25">
      <c r="A45" s="1490" t="s">
        <v>268</v>
      </c>
      <c r="B45" s="1416">
        <f ca="1">'resumo gastos CULTIVOS'!D24+'resumo gastos CULTIVOS'!F24+'resumo gastos CULTIVOS'!H24</f>
        <v>0</v>
      </c>
      <c r="C45" s="1497">
        <f t="shared" ca="1" si="1"/>
        <v>0</v>
      </c>
      <c r="D45" s="520"/>
      <c r="E45" s="520"/>
      <c r="F45" s="520"/>
      <c r="G45" s="520"/>
      <c r="H45" s="520"/>
      <c r="I45" s="520"/>
      <c r="J45" s="520"/>
      <c r="K45" s="624" t="s">
        <v>56</v>
      </c>
      <c r="L45" s="523"/>
      <c r="M45" s="523"/>
    </row>
    <row r="46" spans="1:13" ht="15.75" x14ac:dyDescent="0.25">
      <c r="A46" s="1490" t="str">
        <f>'DESPESAS (Gado)'!C24</f>
        <v>Medicamentos geral</v>
      </c>
      <c r="B46" s="1416">
        <f>'DESPESAS (Gado)'!I24</f>
        <v>0</v>
      </c>
      <c r="C46" s="1497">
        <f t="shared" ca="1" si="1"/>
        <v>0</v>
      </c>
      <c r="D46" s="520"/>
      <c r="E46" s="522"/>
      <c r="F46" s="522"/>
      <c r="G46" s="520"/>
      <c r="H46" s="520"/>
      <c r="I46" s="520"/>
      <c r="J46" s="520"/>
      <c r="K46" s="624" t="s">
        <v>56</v>
      </c>
      <c r="L46" s="523"/>
      <c r="M46" s="523"/>
    </row>
    <row r="47" spans="1:13" ht="15.75" x14ac:dyDescent="0.25">
      <c r="A47" s="1490" t="str">
        <f>'DESPESAS (Gado)'!C25</f>
        <v>Inseminação (sêmen e serviço contratado)</v>
      </c>
      <c r="B47" s="1416">
        <f>'DESPESAS (Gado)'!I25</f>
        <v>0</v>
      </c>
      <c r="C47" s="1497">
        <f t="shared" ca="1" si="1"/>
        <v>0</v>
      </c>
      <c r="D47" s="520"/>
      <c r="E47" s="522"/>
      <c r="F47" s="522"/>
      <c r="G47" s="520"/>
      <c r="H47" s="520"/>
      <c r="I47" s="520"/>
      <c r="J47" s="520"/>
      <c r="K47" s="624" t="s">
        <v>56</v>
      </c>
      <c r="L47" s="523"/>
      <c r="M47" s="523"/>
    </row>
    <row r="48" spans="1:13" ht="15.75" x14ac:dyDescent="0.25">
      <c r="A48" s="1490" t="str">
        <f>'DESPESAS (Gado)'!C26</f>
        <v xml:space="preserve">Energia eletrica </v>
      </c>
      <c r="B48" s="1423">
        <f>'DESPESAS (Gado)'!I26</f>
        <v>0</v>
      </c>
      <c r="C48" s="1497">
        <f t="shared" ca="1" si="1"/>
        <v>0</v>
      </c>
      <c r="D48" s="520"/>
      <c r="E48" s="522"/>
      <c r="F48" s="522"/>
      <c r="G48" s="520"/>
      <c r="H48" s="520"/>
      <c r="I48" s="520"/>
      <c r="J48" s="520"/>
      <c r="K48" s="624" t="s">
        <v>56</v>
      </c>
      <c r="L48" s="523"/>
      <c r="M48" s="523"/>
    </row>
    <row r="49" spans="1:13" ht="15.75" x14ac:dyDescent="0.25">
      <c r="A49" s="1490" t="str">
        <f>'DESPESAS (Gado)'!C27</f>
        <v>Material limpeza e desinfecção</v>
      </c>
      <c r="B49" s="1416">
        <f>'DESPESAS (Gado)'!I27</f>
        <v>0</v>
      </c>
      <c r="C49" s="1497">
        <f t="shared" ca="1" si="1"/>
        <v>0</v>
      </c>
      <c r="D49" s="520"/>
      <c r="E49" s="522"/>
      <c r="F49" s="522"/>
      <c r="G49" s="520"/>
      <c r="H49" s="520"/>
      <c r="I49" s="520"/>
      <c r="J49" s="520"/>
      <c r="K49" s="624" t="s">
        <v>56</v>
      </c>
      <c r="L49" s="523"/>
      <c r="M49" s="523"/>
    </row>
    <row r="50" spans="1:13" ht="15.75" x14ac:dyDescent="0.25">
      <c r="A50" s="1490" t="s">
        <v>588</v>
      </c>
      <c r="B50" s="1416">
        <f>'DESPESAS (Gado)'!I34</f>
        <v>0</v>
      </c>
      <c r="C50" s="1497">
        <f t="shared" ca="1" si="1"/>
        <v>0</v>
      </c>
      <c r="D50" s="520"/>
      <c r="E50" s="522"/>
      <c r="F50" s="522"/>
      <c r="G50" s="520"/>
      <c r="H50" s="520"/>
      <c r="I50" s="520"/>
      <c r="J50" s="520"/>
      <c r="K50" s="624" t="s">
        <v>56</v>
      </c>
      <c r="L50" s="523"/>
      <c r="M50" s="523"/>
    </row>
    <row r="51" spans="1:13" ht="15.75" x14ac:dyDescent="0.25">
      <c r="A51" s="1490" t="s">
        <v>201</v>
      </c>
      <c r="B51" s="1416">
        <f>'H. proces. caseiro alimentos'!F11</f>
        <v>0</v>
      </c>
      <c r="C51" s="1497">
        <f t="shared" ca="1" si="1"/>
        <v>0</v>
      </c>
      <c r="D51" s="520"/>
      <c r="E51" s="532"/>
      <c r="F51" s="522"/>
      <c r="G51" s="520"/>
      <c r="H51" s="520"/>
      <c r="I51" s="520"/>
      <c r="J51" s="520"/>
      <c r="K51" s="624" t="s">
        <v>56</v>
      </c>
      <c r="L51" s="523"/>
      <c r="M51" s="523"/>
    </row>
    <row r="52" spans="1:13" ht="15.75" x14ac:dyDescent="0.25">
      <c r="A52" s="1498" t="s">
        <v>328</v>
      </c>
      <c r="B52" s="1425">
        <f>'resumo gastos CULTIVOS'!E57+'resumo gastos CULTIVOS'!E24</f>
        <v>0</v>
      </c>
      <c r="C52" s="1497">
        <f t="shared" ca="1" si="1"/>
        <v>0</v>
      </c>
      <c r="D52" s="520"/>
      <c r="E52" s="533"/>
      <c r="F52" s="522"/>
      <c r="G52" s="520"/>
      <c r="H52" s="520"/>
      <c r="I52" s="520"/>
      <c r="J52" s="520"/>
      <c r="K52" s="624" t="s">
        <v>56</v>
      </c>
      <c r="L52" s="523"/>
      <c r="M52" s="523"/>
    </row>
    <row r="53" spans="1:13" ht="15.75" x14ac:dyDescent="0.25">
      <c r="A53" s="1498" t="s">
        <v>306</v>
      </c>
      <c r="B53" s="1425">
        <f>M.oBRA!C44</f>
        <v>0</v>
      </c>
      <c r="C53" s="1497">
        <f t="shared" ca="1" si="1"/>
        <v>0</v>
      </c>
      <c r="D53" s="520"/>
      <c r="E53" s="532"/>
      <c r="F53" s="522"/>
      <c r="G53" s="520"/>
      <c r="H53" s="520"/>
      <c r="I53" s="520"/>
      <c r="J53" s="520"/>
      <c r="K53" s="624" t="s">
        <v>56</v>
      </c>
      <c r="L53" s="523"/>
      <c r="M53" s="523"/>
    </row>
    <row r="54" spans="1:13" ht="15.75" x14ac:dyDescent="0.25">
      <c r="A54" s="1498" t="s">
        <v>320</v>
      </c>
      <c r="B54" s="1425">
        <f ca="1">'C. MÁQ.'!C49</f>
        <v>0</v>
      </c>
      <c r="C54" s="1497">
        <f t="shared" ca="1" si="1"/>
        <v>0</v>
      </c>
      <c r="D54" s="520"/>
      <c r="E54" s="522"/>
      <c r="F54" s="522"/>
      <c r="G54" s="520"/>
      <c r="H54" s="520"/>
      <c r="I54" s="520"/>
      <c r="J54" s="520"/>
      <c r="K54" s="624" t="s">
        <v>56</v>
      </c>
      <c r="L54" s="523"/>
      <c r="M54" s="523"/>
    </row>
    <row r="55" spans="1:13" ht="15.75" x14ac:dyDescent="0.25">
      <c r="A55" s="1498" t="s">
        <v>321</v>
      </c>
      <c r="B55" s="1425">
        <f>'D. INSTAL.'!C46</f>
        <v>0</v>
      </c>
      <c r="C55" s="1497">
        <f t="shared" ca="1" si="1"/>
        <v>0</v>
      </c>
      <c r="D55" s="520"/>
      <c r="E55" s="522"/>
      <c r="F55" s="522"/>
      <c r="G55" s="520"/>
      <c r="H55" s="520"/>
      <c r="I55" s="520"/>
      <c r="J55" s="520"/>
      <c r="K55" s="624" t="s">
        <v>56</v>
      </c>
      <c r="L55" s="523"/>
      <c r="M55" s="523"/>
    </row>
    <row r="56" spans="1:13" ht="15.75" x14ac:dyDescent="0.25">
      <c r="A56" s="1498" t="s">
        <v>302</v>
      </c>
      <c r="B56" s="1425">
        <f>'OUTROS CUSTOS'!C15</f>
        <v>0</v>
      </c>
      <c r="C56" s="1497">
        <f t="shared" ca="1" si="1"/>
        <v>0</v>
      </c>
      <c r="D56" s="520"/>
      <c r="E56" s="522"/>
      <c r="F56" s="522"/>
      <c r="G56" s="520"/>
      <c r="H56" s="520"/>
      <c r="I56" s="520"/>
      <c r="J56" s="520"/>
      <c r="K56" s="624" t="s">
        <v>56</v>
      </c>
      <c r="L56" s="523"/>
      <c r="M56" s="523"/>
    </row>
    <row r="57" spans="1:13" ht="15.75" x14ac:dyDescent="0.25">
      <c r="A57" s="1498"/>
      <c r="B57" s="1425"/>
      <c r="C57" s="1497">
        <f t="shared" ca="1" si="1"/>
        <v>0</v>
      </c>
      <c r="D57" s="520"/>
      <c r="E57" s="522"/>
      <c r="F57" s="522"/>
      <c r="G57" s="520"/>
      <c r="H57" s="520"/>
      <c r="I57" s="520"/>
      <c r="J57" s="520"/>
      <c r="K57" s="624"/>
      <c r="L57" s="523"/>
      <c r="M57" s="523"/>
    </row>
    <row r="58" spans="1:13" ht="15.75" x14ac:dyDescent="0.25">
      <c r="A58" s="1499" t="s">
        <v>271</v>
      </c>
      <c r="B58" s="1426">
        <f ca="1">SUMIF(B43:B57,"&gt;0",B43:B57)</f>
        <v>0</v>
      </c>
      <c r="C58" s="1497"/>
      <c r="D58" s="520"/>
      <c r="E58" s="522"/>
      <c r="F58" s="522"/>
      <c r="G58" s="520"/>
      <c r="H58" s="520"/>
      <c r="I58" s="520"/>
      <c r="J58" s="520"/>
      <c r="K58" s="624" t="s">
        <v>56</v>
      </c>
      <c r="L58" s="523"/>
      <c r="M58" s="523"/>
    </row>
    <row r="59" spans="1:13" ht="15.75" x14ac:dyDescent="0.25">
      <c r="A59" s="1494" t="s">
        <v>691</v>
      </c>
      <c r="B59" s="1417"/>
      <c r="C59" s="1497"/>
      <c r="D59" s="520"/>
      <c r="E59" s="522"/>
      <c r="F59" s="522"/>
      <c r="G59" s="520"/>
      <c r="H59" s="520"/>
      <c r="I59" s="520"/>
      <c r="J59" s="520"/>
      <c r="K59" s="624" t="s">
        <v>56</v>
      </c>
      <c r="L59" s="523"/>
      <c r="M59" s="523"/>
    </row>
    <row r="60" spans="1:13" ht="15.75" x14ac:dyDescent="0.25">
      <c r="A60" s="1494" t="s">
        <v>273</v>
      </c>
      <c r="B60" s="1417">
        <f>'resumo gastos CULTIVOS'!G57+'resumo gastos CULTIVOS'!I57+'resumo gastos CULTIVOS'!G24</f>
        <v>281.25</v>
      </c>
      <c r="C60" s="1497">
        <f ca="1">B60/$B$65</f>
        <v>6.0827250608272508E-2</v>
      </c>
      <c r="D60" s="520"/>
      <c r="E60" s="530"/>
      <c r="F60" s="522"/>
      <c r="G60" s="520"/>
      <c r="H60" s="520"/>
      <c r="I60" s="520"/>
      <c r="J60" s="520"/>
      <c r="K60" s="624" t="s">
        <v>56</v>
      </c>
      <c r="L60" s="523"/>
      <c r="M60" s="523"/>
    </row>
    <row r="61" spans="1:13" ht="15.75" x14ac:dyDescent="0.25">
      <c r="A61" s="1500" t="s">
        <v>202</v>
      </c>
      <c r="B61" s="1417">
        <f>'C. MÁQ.'!C48</f>
        <v>2880</v>
      </c>
      <c r="C61" s="1497">
        <f ca="1">B61/$B$65</f>
        <v>0.62287104622871048</v>
      </c>
      <c r="D61" s="520"/>
      <c r="E61" s="522"/>
      <c r="F61" s="522"/>
      <c r="G61" s="520"/>
      <c r="H61" s="520"/>
      <c r="I61" s="520"/>
      <c r="J61" s="520"/>
      <c r="K61" s="624" t="s">
        <v>56</v>
      </c>
      <c r="L61" s="523"/>
      <c r="M61" s="523"/>
    </row>
    <row r="62" spans="1:13" ht="15.75" x14ac:dyDescent="0.25">
      <c r="A62" s="1494" t="s">
        <v>203</v>
      </c>
      <c r="B62" s="1417">
        <f>'D. INSTAL.'!C45</f>
        <v>1462.5</v>
      </c>
      <c r="C62" s="1497">
        <f ca="1">B62/$B$65</f>
        <v>0.31630170316301703</v>
      </c>
      <c r="D62" s="520"/>
      <c r="E62" s="522"/>
      <c r="F62" s="522"/>
      <c r="G62" s="520"/>
      <c r="H62" s="520"/>
      <c r="I62" s="520"/>
      <c r="J62" s="520"/>
      <c r="K62" s="624" t="s">
        <v>56</v>
      </c>
      <c r="L62" s="523"/>
      <c r="M62" s="523"/>
    </row>
    <row r="63" spans="1:13" ht="15.75" x14ac:dyDescent="0.25">
      <c r="A63" s="1499" t="s">
        <v>178</v>
      </c>
      <c r="B63" s="1417">
        <f>SUMIF(B60:B62,"&gt;0",B60:B62)</f>
        <v>4623.75</v>
      </c>
      <c r="C63" s="1497"/>
      <c r="D63" s="528"/>
      <c r="E63" s="522"/>
      <c r="F63" s="522"/>
      <c r="G63" s="520"/>
      <c r="H63" s="520"/>
      <c r="I63" s="520"/>
      <c r="J63" s="520"/>
      <c r="K63" s="624" t="s">
        <v>56</v>
      </c>
      <c r="L63" s="523"/>
      <c r="M63" s="523"/>
    </row>
    <row r="64" spans="1:13" ht="15.75" x14ac:dyDescent="0.25">
      <c r="A64" s="1499"/>
      <c r="B64" s="1417"/>
      <c r="C64" s="1497"/>
      <c r="D64" s="528"/>
      <c r="E64" s="522"/>
      <c r="F64" s="522"/>
      <c r="G64" s="520"/>
      <c r="H64" s="520"/>
      <c r="I64" s="520"/>
      <c r="J64" s="520"/>
      <c r="K64" s="624" t="s">
        <v>56</v>
      </c>
      <c r="L64" s="523"/>
      <c r="M64" s="523"/>
    </row>
    <row r="65" spans="1:13" ht="15.75" x14ac:dyDescent="0.25">
      <c r="A65" s="1501" t="s">
        <v>700</v>
      </c>
      <c r="B65" s="1428">
        <f ca="1">B58+B63</f>
        <v>4623.75</v>
      </c>
      <c r="C65" s="1497">
        <f ca="1">B65/$B$65</f>
        <v>1</v>
      </c>
      <c r="D65" s="520"/>
      <c r="E65" s="535"/>
      <c r="F65" s="522"/>
      <c r="G65" s="520"/>
      <c r="H65" s="520"/>
      <c r="I65" s="520"/>
      <c r="J65" s="520"/>
      <c r="K65" s="624" t="s">
        <v>56</v>
      </c>
      <c r="L65" s="523"/>
      <c r="M65" s="523"/>
    </row>
    <row r="66" spans="1:13" ht="15.75" x14ac:dyDescent="0.25">
      <c r="A66" s="1494" t="s">
        <v>171</v>
      </c>
      <c r="B66" s="1417"/>
      <c r="C66" s="1489"/>
      <c r="D66" s="520"/>
      <c r="E66" s="532"/>
      <c r="F66" s="522"/>
      <c r="G66" s="520"/>
      <c r="H66" s="520"/>
      <c r="I66" s="520"/>
      <c r="J66" s="520"/>
      <c r="K66" s="624" t="s">
        <v>56</v>
      </c>
      <c r="L66" s="523"/>
      <c r="M66" s="523"/>
    </row>
    <row r="67" spans="1:13" ht="15.75" x14ac:dyDescent="0.25">
      <c r="A67" s="1384" t="s">
        <v>698</v>
      </c>
      <c r="B67" s="51">
        <f ca="1">B40-B58</f>
        <v>15200</v>
      </c>
      <c r="C67" s="1489"/>
      <c r="D67" s="520"/>
      <c r="E67" s="522"/>
      <c r="F67" s="522"/>
      <c r="G67" s="520"/>
      <c r="H67" s="520"/>
      <c r="I67" s="520"/>
      <c r="J67" s="520"/>
      <c r="K67" s="624" t="s">
        <v>56</v>
      </c>
      <c r="L67" s="523"/>
      <c r="M67" s="523"/>
    </row>
    <row r="68" spans="1:13" ht="15.75" x14ac:dyDescent="0.25">
      <c r="A68" s="1384" t="s">
        <v>699</v>
      </c>
      <c r="B68" s="1417">
        <f ca="1">B67-B63</f>
        <v>10576.25</v>
      </c>
      <c r="C68" s="1489"/>
      <c r="D68" s="536"/>
      <c r="E68" s="537"/>
      <c r="F68" s="537"/>
      <c r="G68" s="520"/>
      <c r="H68" s="520"/>
      <c r="I68" s="520"/>
      <c r="J68" s="520"/>
      <c r="K68" s="624" t="s">
        <v>56</v>
      </c>
      <c r="L68" s="523"/>
      <c r="M68" s="523"/>
    </row>
    <row r="69" spans="1:13" ht="16.5" thickBot="1" x14ac:dyDescent="0.3">
      <c r="A69" s="1502"/>
      <c r="B69" s="1503"/>
      <c r="C69" s="1504"/>
      <c r="D69" s="520"/>
      <c r="E69" s="537"/>
      <c r="F69" s="522"/>
      <c r="G69" s="520"/>
      <c r="H69" s="520"/>
      <c r="I69" s="520"/>
      <c r="J69" s="520"/>
      <c r="K69" s="624" t="s">
        <v>56</v>
      </c>
      <c r="L69" s="523"/>
      <c r="M69" s="523"/>
    </row>
    <row r="70" spans="1:13" ht="15.75" x14ac:dyDescent="0.25">
      <c r="A70" s="1487"/>
      <c r="B70" s="1470"/>
      <c r="C70" s="1469"/>
      <c r="D70" s="537"/>
      <c r="E70" s="522"/>
      <c r="F70" s="522"/>
      <c r="G70" s="520"/>
      <c r="H70" s="520"/>
      <c r="I70" s="520"/>
      <c r="J70" s="520"/>
      <c r="K70" s="624" t="s">
        <v>56</v>
      </c>
      <c r="L70" s="523"/>
      <c r="M70" s="523"/>
    </row>
    <row r="71" spans="1:13" ht="16.5" thickBot="1" x14ac:dyDescent="0.3">
      <c r="A71" s="1436"/>
      <c r="B71" s="1437"/>
      <c r="C71" s="1436"/>
      <c r="D71" s="538"/>
      <c r="E71" s="522"/>
      <c r="F71" s="522"/>
      <c r="G71" s="520"/>
      <c r="H71" s="520"/>
      <c r="I71" s="520"/>
      <c r="J71" s="520"/>
      <c r="K71" s="624" t="s">
        <v>56</v>
      </c>
      <c r="L71" s="523"/>
      <c r="M71" s="523"/>
    </row>
    <row r="72" spans="1:13" ht="24" thickBot="1" x14ac:dyDescent="0.4">
      <c r="A72" s="1438" t="s">
        <v>155</v>
      </c>
      <c r="B72" s="3069" t="str">
        <f>PRODUÇÃO!B9</f>
        <v/>
      </c>
      <c r="C72" s="3070"/>
      <c r="D72" s="538"/>
      <c r="E72" s="522"/>
      <c r="F72" s="522"/>
      <c r="G72" s="520"/>
      <c r="H72" s="520"/>
      <c r="I72" s="520"/>
      <c r="J72" s="520"/>
      <c r="K72" s="624" t="s">
        <v>56</v>
      </c>
      <c r="L72" s="523"/>
      <c r="M72" s="523"/>
    </row>
    <row r="73" spans="1:13" ht="15.75" x14ac:dyDescent="0.25">
      <c r="A73" s="3078" t="s">
        <v>696</v>
      </c>
      <c r="B73" s="3079"/>
      <c r="C73" s="3080"/>
      <c r="D73" s="538"/>
      <c r="E73" s="522"/>
      <c r="F73" s="522"/>
      <c r="G73" s="520"/>
      <c r="H73" s="520"/>
      <c r="I73" s="520"/>
      <c r="J73" s="520"/>
      <c r="K73" s="624" t="s">
        <v>56</v>
      </c>
      <c r="L73" s="523"/>
      <c r="M73" s="523"/>
    </row>
    <row r="74" spans="1:13" ht="15.75" x14ac:dyDescent="0.25">
      <c r="A74" s="1471" t="s">
        <v>169</v>
      </c>
      <c r="B74" s="1429" t="s">
        <v>87</v>
      </c>
      <c r="C74" s="1472" t="s">
        <v>88</v>
      </c>
      <c r="D74" s="538"/>
      <c r="E74" s="522"/>
      <c r="F74" s="522"/>
      <c r="G74" s="520"/>
      <c r="H74" s="520"/>
      <c r="I74" s="520"/>
      <c r="J74" s="520"/>
      <c r="K74" s="624" t="s">
        <v>56</v>
      </c>
      <c r="L74" s="523"/>
      <c r="M74" s="523"/>
    </row>
    <row r="75" spans="1:13" ht="15.75" x14ac:dyDescent="0.25">
      <c r="A75" s="1473" t="s">
        <v>410</v>
      </c>
      <c r="B75" s="1429">
        <f>PRODUÇÃO!U9</f>
        <v>0</v>
      </c>
      <c r="C75" s="1474"/>
      <c r="D75" s="538"/>
      <c r="E75" s="530"/>
      <c r="F75" s="522"/>
      <c r="G75" s="520"/>
      <c r="H75" s="520"/>
      <c r="I75" s="520"/>
      <c r="J75" s="528"/>
      <c r="K75" s="624" t="s">
        <v>56</v>
      </c>
      <c r="L75" s="523"/>
      <c r="M75" s="523"/>
    </row>
    <row r="76" spans="1:13" ht="15.75" x14ac:dyDescent="0.25">
      <c r="A76" s="1475" t="s">
        <v>184</v>
      </c>
      <c r="B76" s="1430">
        <f>SUMIF(B75:B75,"&gt;0",B75:B75)</f>
        <v>0</v>
      </c>
      <c r="C76" s="1474"/>
      <c r="D76" s="538"/>
      <c r="E76" s="522"/>
      <c r="F76" s="522"/>
      <c r="G76" s="520"/>
      <c r="H76" s="520"/>
      <c r="I76" s="520"/>
      <c r="J76" s="520"/>
      <c r="K76" s="624" t="s">
        <v>56</v>
      </c>
      <c r="L76" s="523"/>
      <c r="M76" s="523"/>
    </row>
    <row r="77" spans="1:13" ht="15.75" x14ac:dyDescent="0.25">
      <c r="A77" s="1476" t="s">
        <v>697</v>
      </c>
      <c r="B77" s="1429"/>
      <c r="C77" s="1474"/>
      <c r="D77" s="538"/>
      <c r="E77" s="522"/>
      <c r="F77" s="522"/>
      <c r="G77" s="520"/>
      <c r="H77" s="520"/>
      <c r="I77" s="520"/>
      <c r="J77" s="520"/>
      <c r="K77" s="624" t="s">
        <v>56</v>
      </c>
      <c r="L77" s="523"/>
      <c r="M77" s="523"/>
    </row>
    <row r="78" spans="1:13" ht="15.75" x14ac:dyDescent="0.25">
      <c r="A78" s="1477" t="s">
        <v>181</v>
      </c>
      <c r="B78" s="1431">
        <f>'resumo gastos CULTIVOS'!D62</f>
        <v>0</v>
      </c>
      <c r="C78" s="1474" t="e">
        <f ca="1">B78/$B$90</f>
        <v>#DIV/0!</v>
      </c>
      <c r="D78" s="538"/>
      <c r="E78" s="522"/>
      <c r="F78" s="522"/>
      <c r="G78" s="520"/>
      <c r="H78" s="520"/>
      <c r="I78" s="520"/>
      <c r="J78" s="520"/>
      <c r="K78" s="624" t="s">
        <v>56</v>
      </c>
      <c r="L78" s="523"/>
      <c r="M78" s="523"/>
    </row>
    <row r="79" spans="1:13" ht="15.75" x14ac:dyDescent="0.25">
      <c r="A79" s="1477" t="s">
        <v>307</v>
      </c>
      <c r="B79" s="1432">
        <f>'resumo gastos CULTIVOS'!E62</f>
        <v>0</v>
      </c>
      <c r="C79" s="1474" t="e">
        <f t="shared" ref="C79:C90" ca="1" si="2">B79/$B$90</f>
        <v>#DIV/0!</v>
      </c>
      <c r="D79" s="538"/>
      <c r="E79" s="522"/>
      <c r="F79" s="522"/>
      <c r="G79" s="520"/>
      <c r="H79" s="520"/>
      <c r="I79" s="520"/>
      <c r="J79" s="520"/>
      <c r="K79" s="624" t="s">
        <v>56</v>
      </c>
      <c r="L79" s="523"/>
      <c r="M79" s="523"/>
    </row>
    <row r="80" spans="1:13" ht="15.75" x14ac:dyDescent="0.25">
      <c r="A80" s="1478" t="s">
        <v>327</v>
      </c>
      <c r="B80" s="1432">
        <f>'resumo gastos CULTIVOS'!F62</f>
        <v>0</v>
      </c>
      <c r="C80" s="1474" t="e">
        <f t="shared" ca="1" si="2"/>
        <v>#DIV/0!</v>
      </c>
      <c r="D80" s="538"/>
      <c r="E80" s="522"/>
      <c r="F80" s="522"/>
      <c r="G80" s="520"/>
      <c r="H80" s="520"/>
      <c r="I80" s="520"/>
      <c r="J80" s="520"/>
      <c r="K80" s="624" t="s">
        <v>56</v>
      </c>
      <c r="L80" s="523"/>
      <c r="M80" s="523"/>
    </row>
    <row r="81" spans="1:13" ht="15.75" x14ac:dyDescent="0.25">
      <c r="A81" s="1477" t="s">
        <v>308</v>
      </c>
      <c r="B81" s="1432">
        <f ca="1">'resumo gastos CULTIVOS'!H62</f>
        <v>0</v>
      </c>
      <c r="C81" s="1474" t="e">
        <f t="shared" ca="1" si="2"/>
        <v>#DIV/0!</v>
      </c>
      <c r="D81" s="538"/>
      <c r="E81" s="522"/>
      <c r="F81" s="522"/>
      <c r="G81" s="520"/>
      <c r="H81" s="520"/>
      <c r="I81" s="520"/>
      <c r="J81" s="520"/>
      <c r="K81" s="624" t="s">
        <v>56</v>
      </c>
      <c r="L81" s="523"/>
      <c r="M81" s="523"/>
    </row>
    <row r="82" spans="1:13" ht="15.75" x14ac:dyDescent="0.25">
      <c r="A82" s="1477" t="s">
        <v>309</v>
      </c>
      <c r="B82" s="1432">
        <f>'resumo gastos CULTIVOS'!J62</f>
        <v>0</v>
      </c>
      <c r="C82" s="1474" t="e">
        <f t="shared" ca="1" si="2"/>
        <v>#DIV/0!</v>
      </c>
      <c r="D82" s="538"/>
      <c r="E82" s="522"/>
      <c r="F82" s="522"/>
      <c r="G82" s="520"/>
      <c r="H82" s="520"/>
      <c r="I82" s="520"/>
      <c r="J82" s="520"/>
      <c r="K82" s="624" t="s">
        <v>56</v>
      </c>
      <c r="L82" s="523"/>
      <c r="M82" s="523"/>
    </row>
    <row r="83" spans="1:13" ht="15.75" x14ac:dyDescent="0.25">
      <c r="A83" s="1477"/>
      <c r="B83" s="1432"/>
      <c r="C83" s="1474"/>
      <c r="D83" s="538"/>
      <c r="E83" s="522"/>
      <c r="F83" s="522"/>
      <c r="G83" s="520"/>
      <c r="H83" s="520"/>
      <c r="I83" s="520"/>
      <c r="J83" s="520"/>
      <c r="K83" s="624" t="s">
        <v>56</v>
      </c>
      <c r="L83" s="523"/>
      <c r="M83" s="523"/>
    </row>
    <row r="84" spans="1:13" ht="15.75" x14ac:dyDescent="0.25">
      <c r="A84" s="1479" t="s">
        <v>60</v>
      </c>
      <c r="B84" s="1433">
        <f ca="1">SUM(B78:B83)</f>
        <v>0</v>
      </c>
      <c r="C84" s="1474"/>
      <c r="D84" s="538"/>
      <c r="E84" s="522"/>
      <c r="F84" s="522"/>
      <c r="G84" s="520"/>
      <c r="H84" s="520"/>
      <c r="I84" s="520"/>
      <c r="J84" s="520"/>
      <c r="K84" s="624" t="s">
        <v>56</v>
      </c>
      <c r="L84" s="523"/>
      <c r="M84" s="523"/>
    </row>
    <row r="85" spans="1:13" ht="15.75" x14ac:dyDescent="0.25">
      <c r="A85" s="1476" t="s">
        <v>691</v>
      </c>
      <c r="B85" s="1429"/>
      <c r="C85" s="1474"/>
      <c r="D85" s="538"/>
      <c r="E85" s="522"/>
      <c r="F85" s="522"/>
      <c r="G85" s="520"/>
      <c r="H85" s="520"/>
      <c r="I85" s="520"/>
      <c r="J85" s="520"/>
      <c r="K85" s="624" t="s">
        <v>56</v>
      </c>
      <c r="L85" s="523"/>
      <c r="M85" s="523"/>
    </row>
    <row r="86" spans="1:13" ht="15.75" x14ac:dyDescent="0.25">
      <c r="A86" s="1477" t="s">
        <v>182</v>
      </c>
      <c r="B86" s="1434">
        <f>'resumo gastos CULTIVOS'!G62</f>
        <v>0</v>
      </c>
      <c r="C86" s="1474" t="e">
        <f t="shared" ca="1" si="2"/>
        <v>#DIV/0!</v>
      </c>
      <c r="D86" s="522"/>
      <c r="E86" s="522"/>
      <c r="F86" s="522"/>
      <c r="G86" s="520"/>
      <c r="H86" s="520"/>
      <c r="I86" s="520"/>
      <c r="J86" s="520"/>
      <c r="K86" s="624" t="s">
        <v>56</v>
      </c>
      <c r="L86" s="523"/>
      <c r="M86" s="523"/>
    </row>
    <row r="87" spans="1:13" ht="15.75" x14ac:dyDescent="0.25">
      <c r="A87" s="1477" t="s">
        <v>183</v>
      </c>
      <c r="B87" s="1434">
        <f>'resumo gastos CULTIVOS'!I62</f>
        <v>0</v>
      </c>
      <c r="C87" s="1474" t="e">
        <f t="shared" ca="1" si="2"/>
        <v>#DIV/0!</v>
      </c>
      <c r="D87" s="522"/>
      <c r="E87" s="522"/>
      <c r="F87" s="522"/>
      <c r="G87" s="520"/>
      <c r="H87" s="520"/>
      <c r="I87" s="520"/>
      <c r="J87" s="520"/>
      <c r="K87" s="624" t="s">
        <v>56</v>
      </c>
      <c r="L87" s="523"/>
      <c r="M87" s="523"/>
    </row>
    <row r="88" spans="1:13" ht="15.75" x14ac:dyDescent="0.25">
      <c r="A88" s="1480" t="s">
        <v>60</v>
      </c>
      <c r="B88" s="1430">
        <f>SUMIF(B86:B87,"&gt;0",B86:B87)</f>
        <v>0</v>
      </c>
      <c r="C88" s="1474"/>
      <c r="D88" s="530">
        <f>B88</f>
        <v>0</v>
      </c>
      <c r="E88" s="522"/>
      <c r="F88" s="522"/>
      <c r="G88" s="520"/>
      <c r="H88" s="520"/>
      <c r="I88" s="520"/>
      <c r="J88" s="520"/>
      <c r="K88" s="624" t="s">
        <v>56</v>
      </c>
      <c r="L88" s="523"/>
      <c r="M88" s="523"/>
    </row>
    <row r="89" spans="1:13" ht="15.75" x14ac:dyDescent="0.25">
      <c r="A89" s="1473"/>
      <c r="B89" s="1434"/>
      <c r="C89" s="1474"/>
      <c r="D89" s="522"/>
      <c r="E89" s="522"/>
      <c r="F89" s="522"/>
      <c r="G89" s="520"/>
      <c r="H89" s="520"/>
      <c r="I89" s="520"/>
      <c r="J89" s="520"/>
      <c r="K89" s="624" t="s">
        <v>56</v>
      </c>
      <c r="L89" s="523"/>
      <c r="M89" s="523"/>
    </row>
    <row r="90" spans="1:13" ht="15.75" x14ac:dyDescent="0.25">
      <c r="A90" s="1481" t="s">
        <v>700</v>
      </c>
      <c r="B90" s="1430">
        <f ca="1">B84+B88</f>
        <v>0</v>
      </c>
      <c r="C90" s="1474" t="e">
        <f t="shared" ca="1" si="2"/>
        <v>#DIV/0!</v>
      </c>
      <c r="D90" s="522"/>
      <c r="E90" s="522"/>
      <c r="F90" s="522"/>
      <c r="G90" s="520"/>
      <c r="H90" s="520"/>
      <c r="I90" s="520"/>
      <c r="J90" s="520"/>
      <c r="K90" s="624" t="s">
        <v>56</v>
      </c>
      <c r="L90" s="523"/>
      <c r="M90" s="523"/>
    </row>
    <row r="91" spans="1:13" ht="15.75" x14ac:dyDescent="0.25">
      <c r="A91" s="1476" t="s">
        <v>270</v>
      </c>
      <c r="B91" s="1435"/>
      <c r="C91" s="1482"/>
      <c r="D91" s="522"/>
      <c r="E91" s="522"/>
      <c r="F91" s="522"/>
      <c r="G91" s="520"/>
      <c r="H91" s="520"/>
      <c r="I91" s="520"/>
      <c r="J91" s="520"/>
      <c r="K91" s="624" t="s">
        <v>56</v>
      </c>
      <c r="L91" s="523"/>
      <c r="M91" s="523"/>
    </row>
    <row r="92" spans="1:13" ht="15.75" x14ac:dyDescent="0.25">
      <c r="A92" s="1483" t="s">
        <v>698</v>
      </c>
      <c r="B92" s="1434">
        <f ca="1">B76-B84</f>
        <v>0</v>
      </c>
      <c r="C92" s="1482"/>
      <c r="D92" s="522"/>
      <c r="E92" s="522"/>
      <c r="F92" s="522"/>
      <c r="G92" s="520"/>
      <c r="H92" s="520"/>
      <c r="I92" s="520"/>
      <c r="J92" s="520"/>
      <c r="K92" s="624" t="s">
        <v>56</v>
      </c>
      <c r="L92" s="523"/>
      <c r="M92" s="523"/>
    </row>
    <row r="93" spans="1:13" ht="15.75" x14ac:dyDescent="0.25">
      <c r="A93" s="1483" t="s">
        <v>699</v>
      </c>
      <c r="B93" s="1435">
        <f ca="1">B92-B88</f>
        <v>0</v>
      </c>
      <c r="C93" s="1482"/>
      <c r="D93" s="522"/>
      <c r="E93" s="522"/>
      <c r="F93" s="522"/>
      <c r="G93" s="520"/>
      <c r="H93" s="520"/>
      <c r="I93" s="520"/>
      <c r="J93" s="520"/>
      <c r="K93" s="624" t="s">
        <v>56</v>
      </c>
      <c r="L93" s="523"/>
      <c r="M93" s="523"/>
    </row>
    <row r="94" spans="1:13" ht="16.5" thickBot="1" x14ac:dyDescent="0.3">
      <c r="A94" s="1484" t="s">
        <v>420</v>
      </c>
      <c r="B94" s="1485"/>
      <c r="C94" s="1486"/>
      <c r="D94" s="522"/>
      <c r="E94" s="522"/>
      <c r="F94" s="522"/>
      <c r="G94" s="520"/>
      <c r="H94" s="520"/>
      <c r="I94" s="520"/>
      <c r="J94" s="520"/>
      <c r="K94" s="624" t="s">
        <v>56</v>
      </c>
      <c r="L94" s="523"/>
      <c r="M94" s="523"/>
    </row>
    <row r="95" spans="1:13" ht="15.75" x14ac:dyDescent="0.25">
      <c r="A95" s="1469"/>
      <c r="B95" s="1470"/>
      <c r="C95" s="1469"/>
      <c r="D95" s="522"/>
      <c r="E95" s="522"/>
      <c r="F95" s="522"/>
      <c r="G95" s="520"/>
      <c r="H95" s="520"/>
      <c r="I95" s="520"/>
      <c r="J95" s="520"/>
      <c r="K95" s="624" t="s">
        <v>56</v>
      </c>
      <c r="L95" s="523"/>
      <c r="M95" s="523"/>
    </row>
    <row r="96" spans="1:13" ht="16.5" thickBot="1" x14ac:dyDescent="0.3">
      <c r="A96" s="1436"/>
      <c r="B96" s="1437"/>
      <c r="C96" s="1436"/>
      <c r="D96" s="522"/>
      <c r="E96" s="522"/>
      <c r="F96" s="522"/>
      <c r="G96" s="520"/>
      <c r="H96" s="520"/>
      <c r="I96" s="520"/>
      <c r="J96" s="520"/>
      <c r="K96" s="624" t="s">
        <v>56</v>
      </c>
      <c r="L96" s="523"/>
      <c r="M96" s="523"/>
    </row>
    <row r="97" spans="1:13" ht="24" thickBot="1" x14ac:dyDescent="0.4">
      <c r="A97" s="1468" t="s">
        <v>155</v>
      </c>
      <c r="B97" s="3067" t="str">
        <f>PRODUÇÃO!B10</f>
        <v/>
      </c>
      <c r="C97" s="3068"/>
      <c r="D97" s="522"/>
      <c r="E97" s="522"/>
      <c r="F97" s="522"/>
      <c r="G97" s="520"/>
      <c r="H97" s="520"/>
      <c r="I97" s="520"/>
      <c r="J97" s="520"/>
      <c r="K97" s="624" t="s">
        <v>56</v>
      </c>
      <c r="L97" s="523"/>
      <c r="M97" s="523"/>
    </row>
    <row r="98" spans="1:13" ht="15.75" x14ac:dyDescent="0.25">
      <c r="A98" s="3081" t="s">
        <v>696</v>
      </c>
      <c r="B98" s="3082"/>
      <c r="C98" s="3083"/>
      <c r="D98" s="522"/>
      <c r="E98" s="522"/>
      <c r="F98" s="522"/>
      <c r="G98" s="520"/>
      <c r="H98" s="520"/>
      <c r="I98" s="520"/>
      <c r="J98" s="520"/>
      <c r="K98" s="624" t="s">
        <v>56</v>
      </c>
      <c r="L98" s="523"/>
      <c r="M98" s="523"/>
    </row>
    <row r="99" spans="1:13" ht="15.75" x14ac:dyDescent="0.25">
      <c r="A99" s="1524" t="s">
        <v>169</v>
      </c>
      <c r="B99" s="1439" t="s">
        <v>87</v>
      </c>
      <c r="C99" s="1525" t="s">
        <v>88</v>
      </c>
      <c r="D99" s="522"/>
      <c r="E99" s="522"/>
      <c r="F99" s="522"/>
      <c r="G99" s="520"/>
      <c r="H99" s="520"/>
      <c r="I99" s="520"/>
      <c r="J99" s="528"/>
      <c r="K99" s="624" t="s">
        <v>56</v>
      </c>
      <c r="L99" s="523"/>
      <c r="M99" s="523"/>
    </row>
    <row r="100" spans="1:13" ht="15.75" x14ac:dyDescent="0.25">
      <c r="A100" s="1526" t="s">
        <v>180</v>
      </c>
      <c r="B100" s="1439">
        <f>PRODUÇÃO!U10</f>
        <v>0</v>
      </c>
      <c r="C100" s="1527"/>
      <c r="D100" s="522"/>
      <c r="E100" s="522"/>
      <c r="F100" s="522"/>
      <c r="G100" s="520"/>
      <c r="H100" s="520"/>
      <c r="I100" s="520"/>
      <c r="J100" s="520"/>
      <c r="K100" s="624" t="s">
        <v>56</v>
      </c>
      <c r="L100" s="523"/>
      <c r="M100" s="523"/>
    </row>
    <row r="101" spans="1:13" ht="15.75" x14ac:dyDescent="0.25">
      <c r="A101" s="1528"/>
      <c r="B101" s="1439"/>
      <c r="C101" s="1527"/>
      <c r="D101" s="522"/>
      <c r="E101" s="522"/>
      <c r="F101" s="522"/>
      <c r="G101" s="520"/>
      <c r="H101" s="520"/>
      <c r="I101" s="520"/>
      <c r="J101" s="520"/>
      <c r="K101" s="624" t="s">
        <v>56</v>
      </c>
      <c r="L101" s="523"/>
      <c r="M101" s="523"/>
    </row>
    <row r="102" spans="1:13" ht="15.75" x14ac:dyDescent="0.25">
      <c r="A102" s="1529" t="s">
        <v>184</v>
      </c>
      <c r="B102" s="1440">
        <f>SUMIF(B100:B101,"&gt;0",B100:B101)</f>
        <v>0</v>
      </c>
      <c r="C102" s="1527"/>
      <c r="D102" s="522"/>
      <c r="E102" s="522"/>
      <c r="F102" s="522"/>
      <c r="G102" s="520"/>
      <c r="H102" s="520"/>
      <c r="I102" s="520"/>
      <c r="J102" s="520"/>
      <c r="K102" s="624" t="s">
        <v>56</v>
      </c>
      <c r="L102" s="523"/>
      <c r="M102" s="523"/>
    </row>
    <row r="103" spans="1:13" ht="15.75" x14ac:dyDescent="0.25">
      <c r="A103" s="1530" t="s">
        <v>697</v>
      </c>
      <c r="B103" s="1439"/>
      <c r="C103" s="1527"/>
      <c r="D103" s="522"/>
      <c r="E103" s="522"/>
      <c r="F103" s="522"/>
      <c r="G103" s="520"/>
      <c r="H103" s="520"/>
      <c r="I103" s="520"/>
      <c r="J103" s="520"/>
      <c r="K103" s="624" t="s">
        <v>56</v>
      </c>
      <c r="L103" s="523"/>
      <c r="M103" s="523"/>
    </row>
    <row r="104" spans="1:13" ht="15.75" x14ac:dyDescent="0.25">
      <c r="A104" s="1528" t="s">
        <v>181</v>
      </c>
      <c r="B104" s="1439">
        <f>'resumo gastos CULTIVOS'!D63</f>
        <v>0</v>
      </c>
      <c r="C104" s="1527" t="e">
        <f ca="1">B104/$B$122</f>
        <v>#DIV/0!</v>
      </c>
      <c r="D104" s="522"/>
      <c r="E104" s="522"/>
      <c r="F104" s="522"/>
      <c r="G104" s="520"/>
      <c r="H104" s="520"/>
      <c r="I104" s="520"/>
      <c r="J104" s="520"/>
      <c r="K104" s="624" t="s">
        <v>56</v>
      </c>
      <c r="L104" s="523"/>
      <c r="M104" s="523"/>
    </row>
    <row r="105" spans="1:13" ht="15.75" x14ac:dyDescent="0.25">
      <c r="A105" s="1528" t="s">
        <v>307</v>
      </c>
      <c r="B105" s="1441">
        <f>'resumo gastos CULTIVOS'!E63</f>
        <v>0</v>
      </c>
      <c r="C105" s="1527" t="e">
        <f t="shared" ref="C105:C122" ca="1" si="3">B105/$B$122</f>
        <v>#DIV/0!</v>
      </c>
      <c r="D105" s="522"/>
      <c r="E105" s="522"/>
      <c r="F105" s="522"/>
      <c r="G105" s="520"/>
      <c r="H105" s="520"/>
      <c r="I105" s="520"/>
      <c r="J105" s="520"/>
      <c r="K105" s="624" t="s">
        <v>56</v>
      </c>
      <c r="L105" s="523"/>
      <c r="M105" s="523"/>
    </row>
    <row r="106" spans="1:13" ht="15.75" x14ac:dyDescent="0.25">
      <c r="A106" s="1531" t="s">
        <v>302</v>
      </c>
      <c r="B106" s="1441">
        <f>'resumo gastos CULTIVOS'!F63</f>
        <v>0</v>
      </c>
      <c r="C106" s="1527" t="e">
        <f t="shared" ca="1" si="3"/>
        <v>#DIV/0!</v>
      </c>
      <c r="D106" s="522"/>
      <c r="E106" s="522"/>
      <c r="F106" s="522"/>
      <c r="G106" s="520"/>
      <c r="H106" s="520"/>
      <c r="I106" s="520"/>
      <c r="J106" s="520"/>
      <c r="K106" s="624" t="s">
        <v>56</v>
      </c>
      <c r="L106" s="523"/>
      <c r="M106" s="523"/>
    </row>
    <row r="107" spans="1:13" ht="15.75" x14ac:dyDescent="0.25">
      <c r="A107" s="1528" t="s">
        <v>308</v>
      </c>
      <c r="B107" s="1441">
        <f ca="1">'resumo gastos CULTIVOS'!H63</f>
        <v>0</v>
      </c>
      <c r="C107" s="1527" t="e">
        <f t="shared" ca="1" si="3"/>
        <v>#DIV/0!</v>
      </c>
      <c r="D107" s="522"/>
      <c r="E107" s="522"/>
      <c r="F107" s="522"/>
      <c r="G107" s="520"/>
      <c r="H107" s="520"/>
      <c r="I107" s="520"/>
      <c r="J107" s="520"/>
      <c r="K107" s="624" t="s">
        <v>56</v>
      </c>
      <c r="L107" s="523"/>
      <c r="M107" s="523"/>
    </row>
    <row r="108" spans="1:13" ht="15.75" x14ac:dyDescent="0.25">
      <c r="A108" s="1528" t="s">
        <v>309</v>
      </c>
      <c r="B108" s="1441">
        <f>'resumo gastos CULTIVOS'!J63</f>
        <v>0</v>
      </c>
      <c r="C108" s="1527" t="e">
        <f t="shared" ca="1" si="3"/>
        <v>#DIV/0!</v>
      </c>
      <c r="D108" s="522"/>
      <c r="E108" s="522"/>
      <c r="F108" s="522"/>
      <c r="G108" s="520"/>
      <c r="H108" s="520"/>
      <c r="I108" s="520"/>
      <c r="J108" s="520"/>
      <c r="K108" s="624" t="s">
        <v>56</v>
      </c>
      <c r="L108" s="523"/>
      <c r="M108" s="523"/>
    </row>
    <row r="109" spans="1:13" ht="15.75" x14ac:dyDescent="0.25">
      <c r="A109" s="1528"/>
      <c r="B109" s="1441"/>
      <c r="C109" s="1527"/>
      <c r="D109" s="522"/>
      <c r="E109" s="522"/>
      <c r="F109" s="522"/>
      <c r="G109" s="520"/>
      <c r="H109" s="520"/>
      <c r="I109" s="520"/>
      <c r="J109" s="520"/>
      <c r="K109" s="624" t="s">
        <v>56</v>
      </c>
      <c r="L109" s="523"/>
      <c r="M109" s="523"/>
    </row>
    <row r="110" spans="1:13" ht="15.75" x14ac:dyDescent="0.25">
      <c r="A110" s="1528"/>
      <c r="B110" s="1441"/>
      <c r="C110" s="1527"/>
      <c r="D110" s="522"/>
      <c r="E110" s="522"/>
      <c r="F110" s="522"/>
      <c r="G110" s="520"/>
      <c r="H110" s="520"/>
      <c r="I110" s="520"/>
      <c r="J110" s="520"/>
      <c r="K110" s="624" t="s">
        <v>56</v>
      </c>
      <c r="L110" s="523"/>
      <c r="M110" s="523"/>
    </row>
    <row r="111" spans="1:13" ht="15.75" x14ac:dyDescent="0.25">
      <c r="A111" s="1529" t="s">
        <v>60</v>
      </c>
      <c r="B111" s="1440">
        <f ca="1">SUM(B104:B110)</f>
        <v>0</v>
      </c>
      <c r="C111" s="1527"/>
      <c r="D111" s="522"/>
      <c r="E111" s="522"/>
      <c r="F111" s="522"/>
      <c r="G111" s="520"/>
      <c r="H111" s="520"/>
      <c r="I111" s="520"/>
      <c r="J111" s="520"/>
      <c r="K111" s="624" t="s">
        <v>56</v>
      </c>
      <c r="L111" s="523"/>
      <c r="M111" s="523"/>
    </row>
    <row r="112" spans="1:13" ht="15.75" x14ac:dyDescent="0.25">
      <c r="A112" s="1529"/>
      <c r="B112" s="1440"/>
      <c r="C112" s="1527"/>
      <c r="D112" s="522"/>
      <c r="E112" s="522"/>
      <c r="F112" s="522"/>
      <c r="G112" s="520"/>
      <c r="H112" s="520"/>
      <c r="I112" s="520"/>
      <c r="J112" s="520"/>
      <c r="K112" s="624" t="s">
        <v>56</v>
      </c>
      <c r="L112" s="523"/>
      <c r="M112" s="523"/>
    </row>
    <row r="113" spans="1:13" ht="15.75" x14ac:dyDescent="0.25">
      <c r="A113" s="1530" t="s">
        <v>691</v>
      </c>
      <c r="B113" s="1439"/>
      <c r="C113" s="1527"/>
      <c r="D113" s="522"/>
      <c r="E113" s="522"/>
      <c r="F113" s="522"/>
      <c r="G113" s="520"/>
      <c r="H113" s="520"/>
      <c r="I113" s="520"/>
      <c r="J113" s="520"/>
      <c r="K113" s="624" t="s">
        <v>56</v>
      </c>
      <c r="L113" s="523"/>
      <c r="M113" s="523"/>
    </row>
    <row r="114" spans="1:13" ht="15.75" x14ac:dyDescent="0.25">
      <c r="A114" s="1528" t="s">
        <v>182</v>
      </c>
      <c r="B114" s="1442">
        <f>'resumo gastos CULTIVOS'!G63</f>
        <v>0</v>
      </c>
      <c r="C114" s="1527" t="e">
        <f t="shared" ca="1" si="3"/>
        <v>#DIV/0!</v>
      </c>
      <c r="D114" s="522"/>
      <c r="E114" s="522"/>
      <c r="F114" s="522"/>
      <c r="G114" s="520"/>
      <c r="H114" s="520"/>
      <c r="I114" s="520"/>
      <c r="J114" s="520"/>
      <c r="K114" s="624" t="s">
        <v>56</v>
      </c>
      <c r="L114" s="523"/>
      <c r="M114" s="523"/>
    </row>
    <row r="115" spans="1:13" ht="15.75" x14ac:dyDescent="0.25">
      <c r="A115" s="1528" t="s">
        <v>183</v>
      </c>
      <c r="B115" s="1442">
        <f>'resumo gastos CULTIVOS'!I63</f>
        <v>0</v>
      </c>
      <c r="C115" s="1527" t="e">
        <f t="shared" ca="1" si="3"/>
        <v>#DIV/0!</v>
      </c>
      <c r="D115" s="522"/>
      <c r="E115" s="522"/>
      <c r="F115" s="522"/>
      <c r="G115" s="520"/>
      <c r="H115" s="520"/>
      <c r="I115" s="520"/>
      <c r="J115" s="520"/>
      <c r="K115" s="624" t="s">
        <v>56</v>
      </c>
      <c r="L115" s="523"/>
      <c r="M115" s="523"/>
    </row>
    <row r="116" spans="1:13" ht="15.75" x14ac:dyDescent="0.25">
      <c r="A116" s="1532" t="s">
        <v>60</v>
      </c>
      <c r="B116" s="1440">
        <f>SUMIF(B114:B115,"&gt;0",B114:B115)</f>
        <v>0</v>
      </c>
      <c r="C116" s="1527"/>
      <c r="D116" s="530">
        <f>B116</f>
        <v>0</v>
      </c>
      <c r="E116" s="522"/>
      <c r="F116" s="522"/>
      <c r="G116" s="520"/>
      <c r="H116" s="520"/>
      <c r="I116" s="520"/>
      <c r="J116" s="520"/>
      <c r="K116" s="624" t="s">
        <v>56</v>
      </c>
      <c r="L116" s="523"/>
      <c r="M116" s="523"/>
    </row>
    <row r="117" spans="1:13" ht="15.75" x14ac:dyDescent="0.25">
      <c r="A117" s="1526"/>
      <c r="B117" s="1442"/>
      <c r="C117" s="1527"/>
      <c r="D117" s="522"/>
      <c r="E117" s="522"/>
      <c r="F117" s="522"/>
      <c r="G117" s="520"/>
      <c r="H117" s="520"/>
      <c r="I117" s="520"/>
      <c r="J117" s="520"/>
      <c r="K117" s="624" t="s">
        <v>56</v>
      </c>
      <c r="L117" s="523"/>
      <c r="M117" s="523"/>
    </row>
    <row r="118" spans="1:13" ht="15.75" hidden="1" x14ac:dyDescent="0.25">
      <c r="A118" s="1530" t="s">
        <v>170</v>
      </c>
      <c r="B118" s="1443"/>
      <c r="C118" s="1527" t="e">
        <f t="shared" ca="1" si="3"/>
        <v>#DIV/0!</v>
      </c>
      <c r="D118" s="522"/>
      <c r="E118" s="522"/>
      <c r="F118" s="522"/>
      <c r="G118" s="520"/>
      <c r="H118" s="520"/>
      <c r="I118" s="520"/>
      <c r="J118" s="520"/>
      <c r="K118" s="624" t="s">
        <v>56</v>
      </c>
      <c r="L118" s="523"/>
      <c r="M118" s="523"/>
    </row>
    <row r="119" spans="1:13" ht="15.75" hidden="1" x14ac:dyDescent="0.25">
      <c r="A119" s="1530" t="s">
        <v>185</v>
      </c>
      <c r="B119" s="1443">
        <f>'resumo gastos CULTIVOS'!E63</f>
        <v>0</v>
      </c>
      <c r="C119" s="1527" t="e">
        <f t="shared" ca="1" si="3"/>
        <v>#DIV/0!</v>
      </c>
      <c r="D119" s="522"/>
      <c r="E119" s="522"/>
      <c r="F119" s="522"/>
      <c r="G119" s="520"/>
      <c r="H119" s="520"/>
      <c r="I119" s="520"/>
      <c r="J119" s="520"/>
      <c r="K119" s="624" t="s">
        <v>56</v>
      </c>
      <c r="L119" s="523"/>
      <c r="M119" s="523"/>
    </row>
    <row r="120" spans="1:13" ht="15.75" hidden="1" x14ac:dyDescent="0.25">
      <c r="A120" s="1530" t="s">
        <v>186</v>
      </c>
      <c r="B120" s="1443">
        <f>'resumo gastos CULTIVOS'!F63</f>
        <v>0</v>
      </c>
      <c r="C120" s="1527" t="e">
        <f t="shared" ca="1" si="3"/>
        <v>#DIV/0!</v>
      </c>
      <c r="D120" s="522"/>
      <c r="E120" s="522"/>
      <c r="F120" s="522"/>
      <c r="G120" s="520"/>
      <c r="H120" s="520"/>
      <c r="I120" s="520"/>
      <c r="J120" s="520"/>
      <c r="K120" s="624" t="s">
        <v>56</v>
      </c>
      <c r="L120" s="523"/>
      <c r="M120" s="523"/>
    </row>
    <row r="121" spans="1:13" ht="15.75" hidden="1" x14ac:dyDescent="0.25">
      <c r="A121" s="1533" t="s">
        <v>187</v>
      </c>
      <c r="B121" s="1444">
        <f>B119+B120</f>
        <v>0</v>
      </c>
      <c r="C121" s="1527" t="e">
        <f t="shared" ca="1" si="3"/>
        <v>#DIV/0!</v>
      </c>
      <c r="D121" s="522"/>
      <c r="E121" s="522"/>
      <c r="F121" s="522"/>
      <c r="G121" s="520"/>
      <c r="H121" s="520"/>
      <c r="I121" s="520"/>
      <c r="J121" s="520"/>
      <c r="K121" s="624" t="s">
        <v>56</v>
      </c>
      <c r="L121" s="523"/>
      <c r="M121" s="523"/>
    </row>
    <row r="122" spans="1:13" ht="15.75" x14ac:dyDescent="0.25">
      <c r="A122" s="1534" t="s">
        <v>700</v>
      </c>
      <c r="B122" s="1444">
        <f ca="1">B111+B116</f>
        <v>0</v>
      </c>
      <c r="C122" s="1527" t="e">
        <f t="shared" ca="1" si="3"/>
        <v>#DIV/0!</v>
      </c>
      <c r="D122" s="522"/>
      <c r="E122" s="522"/>
      <c r="F122" s="522"/>
      <c r="G122" s="520"/>
      <c r="H122" s="520"/>
      <c r="I122" s="520"/>
      <c r="J122" s="520"/>
      <c r="K122" s="624" t="s">
        <v>56</v>
      </c>
      <c r="L122" s="523"/>
      <c r="M122" s="523"/>
    </row>
    <row r="123" spans="1:13" ht="15.75" x14ac:dyDescent="0.25">
      <c r="A123" s="1530" t="s">
        <v>270</v>
      </c>
      <c r="B123" s="1443"/>
      <c r="C123" s="1535"/>
      <c r="D123" s="522"/>
      <c r="E123" s="522"/>
      <c r="F123" s="522"/>
      <c r="G123" s="520"/>
      <c r="H123" s="520"/>
      <c r="I123" s="520"/>
      <c r="J123" s="528"/>
      <c r="K123" s="624" t="s">
        <v>56</v>
      </c>
      <c r="L123" s="523"/>
      <c r="M123" s="523"/>
    </row>
    <row r="124" spans="1:13" ht="15.75" x14ac:dyDescent="0.25">
      <c r="A124" s="1536" t="s">
        <v>698</v>
      </c>
      <c r="B124" s="1442">
        <f ca="1">B102-B111</f>
        <v>0</v>
      </c>
      <c r="C124" s="1535"/>
      <c r="D124" s="522"/>
      <c r="E124" s="522"/>
      <c r="F124" s="522"/>
      <c r="G124" s="520"/>
      <c r="H124" s="520"/>
      <c r="I124" s="520"/>
      <c r="J124" s="520"/>
      <c r="K124" s="624" t="s">
        <v>56</v>
      </c>
      <c r="L124" s="523"/>
      <c r="M124" s="523"/>
    </row>
    <row r="125" spans="1:13" ht="15.75" x14ac:dyDescent="0.25">
      <c r="A125" s="1536" t="s">
        <v>699</v>
      </c>
      <c r="B125" s="1443">
        <f ca="1">B124-B116</f>
        <v>0</v>
      </c>
      <c r="C125" s="1535"/>
      <c r="D125" s="522"/>
      <c r="E125" s="522"/>
      <c r="F125" s="522"/>
      <c r="G125" s="520"/>
      <c r="H125" s="520"/>
      <c r="I125" s="520"/>
      <c r="J125" s="520"/>
      <c r="K125" s="624" t="s">
        <v>56</v>
      </c>
      <c r="L125" s="523"/>
      <c r="M125" s="523"/>
    </row>
    <row r="126" spans="1:13" ht="16.5" thickBot="1" x14ac:dyDescent="0.3">
      <c r="A126" s="1537"/>
      <c r="B126" s="1538"/>
      <c r="C126" s="1539"/>
      <c r="D126" s="522"/>
      <c r="E126" s="522"/>
      <c r="F126" s="522"/>
      <c r="G126" s="520"/>
      <c r="H126" s="520"/>
      <c r="I126" s="520"/>
      <c r="J126" s="520"/>
      <c r="K126" s="624" t="s">
        <v>56</v>
      </c>
      <c r="L126" s="523"/>
      <c r="M126" s="523"/>
    </row>
    <row r="127" spans="1:13" ht="16.5" thickBot="1" x14ac:dyDescent="0.3">
      <c r="A127" s="1505"/>
      <c r="B127" s="1506"/>
      <c r="C127" s="1505"/>
      <c r="D127" s="522"/>
      <c r="E127" s="522"/>
      <c r="F127" s="522"/>
      <c r="G127" s="520"/>
      <c r="H127" s="520"/>
      <c r="I127" s="520"/>
      <c r="J127" s="520"/>
      <c r="K127" s="624" t="s">
        <v>56</v>
      </c>
      <c r="L127" s="523"/>
      <c r="M127" s="523"/>
    </row>
    <row r="128" spans="1:13" ht="24" thickBot="1" x14ac:dyDescent="0.4">
      <c r="A128" s="1543" t="s">
        <v>155</v>
      </c>
      <c r="B128" s="3065" t="str">
        <f>PRODUÇÃO!B11</f>
        <v/>
      </c>
      <c r="C128" s="3066"/>
      <c r="D128" s="522"/>
      <c r="E128" s="522"/>
      <c r="F128" s="522"/>
      <c r="G128" s="520"/>
      <c r="H128" s="520"/>
      <c r="I128" s="520"/>
      <c r="J128" s="520"/>
      <c r="K128" s="624" t="s">
        <v>56</v>
      </c>
      <c r="L128" s="523"/>
      <c r="M128" s="523"/>
    </row>
    <row r="129" spans="1:13" ht="15.75" x14ac:dyDescent="0.25">
      <c r="A129" s="3084" t="s">
        <v>696</v>
      </c>
      <c r="B129" s="3085"/>
      <c r="C129" s="3086"/>
      <c r="D129" s="522"/>
      <c r="E129" s="522"/>
      <c r="F129" s="522"/>
      <c r="G129" s="520"/>
      <c r="H129" s="520"/>
      <c r="I129" s="520"/>
      <c r="J129" s="520"/>
      <c r="K129" s="624" t="s">
        <v>56</v>
      </c>
      <c r="L129" s="523"/>
      <c r="M129" s="523"/>
    </row>
    <row r="130" spans="1:13" ht="15.75" x14ac:dyDescent="0.25">
      <c r="A130" s="1548" t="s">
        <v>169</v>
      </c>
      <c r="B130" s="1445" t="s">
        <v>87</v>
      </c>
      <c r="C130" s="1549" t="s">
        <v>88</v>
      </c>
      <c r="D130" s="522"/>
      <c r="E130" s="522"/>
      <c r="F130" s="522"/>
      <c r="G130" s="520"/>
      <c r="H130" s="520"/>
      <c r="I130" s="520"/>
      <c r="J130" s="520"/>
      <c r="K130" s="624" t="s">
        <v>56</v>
      </c>
      <c r="L130" s="523"/>
      <c r="M130" s="523"/>
    </row>
    <row r="131" spans="1:13" ht="15.75" x14ac:dyDescent="0.25">
      <c r="A131" s="1550" t="s">
        <v>180</v>
      </c>
      <c r="B131" s="1445">
        <f>PRODUÇÃO!U11</f>
        <v>0</v>
      </c>
      <c r="C131" s="1551"/>
      <c r="D131" s="522"/>
      <c r="E131" s="522"/>
      <c r="F131" s="522"/>
      <c r="G131" s="520"/>
      <c r="H131" s="520"/>
      <c r="I131" s="520"/>
      <c r="J131" s="520"/>
      <c r="K131" s="624" t="s">
        <v>56</v>
      </c>
      <c r="L131" s="523"/>
      <c r="M131" s="523"/>
    </row>
    <row r="132" spans="1:13" ht="15.75" x14ac:dyDescent="0.25">
      <c r="A132" s="1552"/>
      <c r="B132" s="1445"/>
      <c r="C132" s="1551"/>
      <c r="D132" s="522"/>
      <c r="E132" s="522"/>
      <c r="F132" s="522"/>
      <c r="G132" s="520"/>
      <c r="H132" s="520"/>
      <c r="I132" s="520"/>
      <c r="J132" s="520"/>
      <c r="K132" s="624" t="s">
        <v>56</v>
      </c>
      <c r="L132" s="523"/>
      <c r="M132" s="523"/>
    </row>
    <row r="133" spans="1:13" ht="15.75" x14ac:dyDescent="0.25">
      <c r="A133" s="1553" t="s">
        <v>184</v>
      </c>
      <c r="B133" s="1446">
        <f>SUMIF(B131:B132,"&gt;0",B131:B132)</f>
        <v>0</v>
      </c>
      <c r="C133" s="1551"/>
      <c r="D133" s="522"/>
      <c r="E133" s="522"/>
      <c r="F133" s="522"/>
      <c r="G133" s="520"/>
      <c r="H133" s="520"/>
      <c r="I133" s="520"/>
      <c r="J133" s="520"/>
      <c r="K133" s="624" t="s">
        <v>56</v>
      </c>
      <c r="L133" s="523"/>
      <c r="M133" s="523"/>
    </row>
    <row r="134" spans="1:13" ht="15.75" x14ac:dyDescent="0.25">
      <c r="A134" s="1554" t="s">
        <v>697</v>
      </c>
      <c r="B134" s="1445"/>
      <c r="C134" s="1551"/>
      <c r="D134" s="522"/>
      <c r="E134" s="522"/>
      <c r="F134" s="522"/>
      <c r="G134" s="520"/>
      <c r="H134" s="520"/>
      <c r="I134" s="520"/>
      <c r="J134" s="520"/>
      <c r="K134" s="624" t="s">
        <v>56</v>
      </c>
      <c r="L134" s="523"/>
      <c r="M134" s="523"/>
    </row>
    <row r="135" spans="1:13" ht="15.75" x14ac:dyDescent="0.25">
      <c r="A135" s="1554" t="s">
        <v>181</v>
      </c>
      <c r="B135" s="1445">
        <f>'resumo gastos CULTIVOS'!D64</f>
        <v>0</v>
      </c>
      <c r="C135" s="1551" t="e">
        <f ca="1">B135/$B$146</f>
        <v>#DIV/0!</v>
      </c>
      <c r="D135" s="522"/>
      <c r="E135" s="522"/>
      <c r="F135" s="522"/>
      <c r="G135" s="520"/>
      <c r="H135" s="520"/>
      <c r="I135" s="520"/>
      <c r="J135" s="520"/>
      <c r="K135" s="624" t="s">
        <v>56</v>
      </c>
      <c r="L135" s="523"/>
      <c r="M135" s="523"/>
    </row>
    <row r="136" spans="1:13" ht="15.75" x14ac:dyDescent="0.25">
      <c r="A136" s="1554" t="s">
        <v>307</v>
      </c>
      <c r="B136" s="1445">
        <f>'resumo gastos CULTIVOS'!E64</f>
        <v>0</v>
      </c>
      <c r="C136" s="1551" t="e">
        <f t="shared" ref="C136:C146" ca="1" si="4">B136/$B$146</f>
        <v>#DIV/0!</v>
      </c>
      <c r="D136" s="522"/>
      <c r="E136" s="522"/>
      <c r="F136" s="522"/>
      <c r="G136" s="520"/>
      <c r="H136" s="520"/>
      <c r="I136" s="520"/>
      <c r="J136" s="520"/>
      <c r="K136" s="624" t="s">
        <v>56</v>
      </c>
      <c r="L136" s="523"/>
      <c r="M136" s="523"/>
    </row>
    <row r="137" spans="1:13" ht="15.75" x14ac:dyDescent="0.25">
      <c r="A137" s="1555" t="s">
        <v>302</v>
      </c>
      <c r="B137" s="1445">
        <f>'resumo gastos CULTIVOS'!F64</f>
        <v>0</v>
      </c>
      <c r="C137" s="1551" t="e">
        <f t="shared" ca="1" si="4"/>
        <v>#DIV/0!</v>
      </c>
      <c r="D137" s="522"/>
      <c r="E137" s="522"/>
      <c r="F137" s="522"/>
      <c r="G137" s="520"/>
      <c r="H137" s="520"/>
      <c r="I137" s="520"/>
      <c r="J137" s="520"/>
      <c r="K137" s="624" t="s">
        <v>56</v>
      </c>
      <c r="L137" s="523"/>
      <c r="M137" s="523"/>
    </row>
    <row r="138" spans="1:13" ht="15.75" x14ac:dyDescent="0.25">
      <c r="A138" s="1554" t="s">
        <v>308</v>
      </c>
      <c r="B138" s="1445">
        <f ca="1">'resumo gastos CULTIVOS'!H64</f>
        <v>0</v>
      </c>
      <c r="C138" s="1551" t="e">
        <f t="shared" ca="1" si="4"/>
        <v>#DIV/0!</v>
      </c>
      <c r="D138" s="522"/>
      <c r="E138" s="522"/>
      <c r="F138" s="522"/>
      <c r="G138" s="520"/>
      <c r="H138" s="520"/>
      <c r="I138" s="520"/>
      <c r="J138" s="520"/>
      <c r="K138" s="624" t="s">
        <v>56</v>
      </c>
      <c r="L138" s="523"/>
      <c r="M138" s="523"/>
    </row>
    <row r="139" spans="1:13" ht="15.75" x14ac:dyDescent="0.25">
      <c r="A139" s="1552" t="s">
        <v>309</v>
      </c>
      <c r="B139" s="1445">
        <f>'resumo gastos CULTIVOS'!J64</f>
        <v>0</v>
      </c>
      <c r="C139" s="1551" t="e">
        <f t="shared" ca="1" si="4"/>
        <v>#DIV/0!</v>
      </c>
      <c r="D139" s="522"/>
      <c r="E139" s="522"/>
      <c r="F139" s="522"/>
      <c r="G139" s="520"/>
      <c r="H139" s="520"/>
      <c r="I139" s="520"/>
      <c r="J139" s="520"/>
      <c r="K139" s="624" t="s">
        <v>56</v>
      </c>
      <c r="L139" s="523"/>
      <c r="M139" s="523"/>
    </row>
    <row r="140" spans="1:13" ht="15.75" x14ac:dyDescent="0.25">
      <c r="A140" s="1553" t="s">
        <v>60</v>
      </c>
      <c r="B140" s="1447">
        <f ca="1">SUM(B135:B139)</f>
        <v>0</v>
      </c>
      <c r="C140" s="1551"/>
      <c r="D140" s="522"/>
      <c r="E140" s="522"/>
      <c r="F140" s="522"/>
      <c r="G140" s="520"/>
      <c r="H140" s="520"/>
      <c r="I140" s="520"/>
      <c r="J140" s="520"/>
      <c r="K140" s="624" t="s">
        <v>56</v>
      </c>
      <c r="L140" s="523"/>
      <c r="M140" s="523"/>
    </row>
    <row r="141" spans="1:13" ht="15.75" x14ac:dyDescent="0.25">
      <c r="A141" s="1554" t="s">
        <v>691</v>
      </c>
      <c r="B141" s="1445"/>
      <c r="C141" s="1551"/>
      <c r="D141" s="522"/>
      <c r="E141" s="522"/>
      <c r="F141" s="522"/>
      <c r="G141" s="520"/>
      <c r="H141" s="520"/>
      <c r="I141" s="520"/>
      <c r="J141" s="528"/>
      <c r="K141" s="624" t="s">
        <v>56</v>
      </c>
      <c r="L141" s="523"/>
      <c r="M141" s="523"/>
    </row>
    <row r="142" spans="1:13" ht="15.75" x14ac:dyDescent="0.25">
      <c r="A142" s="1552" t="s">
        <v>182</v>
      </c>
      <c r="B142" s="1448">
        <f>'resumo gastos CULTIVOS'!G64</f>
        <v>0</v>
      </c>
      <c r="C142" s="1551" t="e">
        <f t="shared" ca="1" si="4"/>
        <v>#DIV/0!</v>
      </c>
      <c r="D142" s="522"/>
      <c r="E142" s="522"/>
      <c r="F142" s="522"/>
      <c r="G142" s="520"/>
      <c r="H142" s="520"/>
      <c r="I142" s="520"/>
      <c r="J142" s="520"/>
      <c r="K142" s="624" t="s">
        <v>56</v>
      </c>
      <c r="L142" s="523"/>
      <c r="M142" s="523"/>
    </row>
    <row r="143" spans="1:13" ht="15.75" x14ac:dyDescent="0.25">
      <c r="A143" s="1552" t="s">
        <v>183</v>
      </c>
      <c r="B143" s="1448">
        <f>'resumo gastos CULTIVOS'!I64</f>
        <v>0</v>
      </c>
      <c r="C143" s="1551" t="e">
        <f t="shared" ca="1" si="4"/>
        <v>#DIV/0!</v>
      </c>
      <c r="D143" s="522"/>
      <c r="E143" s="522"/>
      <c r="F143" s="522"/>
      <c r="G143" s="520"/>
      <c r="H143" s="520"/>
      <c r="I143" s="520"/>
      <c r="J143" s="520"/>
      <c r="K143" s="624" t="s">
        <v>56</v>
      </c>
      <c r="L143" s="523"/>
      <c r="M143" s="523"/>
    </row>
    <row r="144" spans="1:13" ht="15.75" x14ac:dyDescent="0.25">
      <c r="A144" s="1556" t="s">
        <v>60</v>
      </c>
      <c r="B144" s="1446">
        <f>SUMIF(B142:B143,"&gt;0",B142:B143)</f>
        <v>0</v>
      </c>
      <c r="C144" s="1551"/>
      <c r="D144" s="530">
        <f>B144</f>
        <v>0</v>
      </c>
      <c r="E144" s="522"/>
      <c r="F144" s="522"/>
      <c r="G144" s="520"/>
      <c r="H144" s="520"/>
      <c r="I144" s="520"/>
      <c r="J144" s="520"/>
      <c r="K144" s="624" t="s">
        <v>56</v>
      </c>
      <c r="L144" s="523"/>
      <c r="M144" s="523"/>
    </row>
    <row r="145" spans="1:13" ht="15.75" x14ac:dyDescent="0.25">
      <c r="A145" s="1550"/>
      <c r="B145" s="1448"/>
      <c r="C145" s="1551"/>
      <c r="D145" s="522"/>
      <c r="E145" s="522"/>
      <c r="F145" s="522"/>
      <c r="G145" s="520"/>
      <c r="H145" s="520"/>
      <c r="I145" s="520"/>
      <c r="J145" s="520"/>
      <c r="K145" s="624" t="s">
        <v>56</v>
      </c>
      <c r="L145" s="523"/>
      <c r="M145" s="523"/>
    </row>
    <row r="146" spans="1:13" ht="15.75" x14ac:dyDescent="0.25">
      <c r="A146" s="1557" t="s">
        <v>700</v>
      </c>
      <c r="B146" s="1449">
        <f ca="1">B140+B144</f>
        <v>0</v>
      </c>
      <c r="C146" s="1551" t="e">
        <f t="shared" ca="1" si="4"/>
        <v>#DIV/0!</v>
      </c>
      <c r="D146" s="522"/>
      <c r="E146" s="522"/>
      <c r="F146" s="522"/>
      <c r="G146" s="520"/>
      <c r="H146" s="520"/>
      <c r="I146" s="520"/>
      <c r="J146" s="520"/>
      <c r="K146" s="624" t="s">
        <v>56</v>
      </c>
      <c r="L146" s="523"/>
      <c r="M146" s="523"/>
    </row>
    <row r="147" spans="1:13" ht="15.75" x14ac:dyDescent="0.25">
      <c r="A147" s="1554" t="s">
        <v>270</v>
      </c>
      <c r="B147" s="1450"/>
      <c r="C147" s="1558"/>
      <c r="D147" s="522"/>
      <c r="E147" s="522"/>
      <c r="F147" s="522"/>
      <c r="G147" s="520"/>
      <c r="H147" s="520"/>
      <c r="I147" s="520"/>
      <c r="J147" s="520"/>
      <c r="K147" s="624" t="s">
        <v>56</v>
      </c>
      <c r="L147" s="523"/>
      <c r="M147" s="523"/>
    </row>
    <row r="148" spans="1:13" ht="15.75" x14ac:dyDescent="0.25">
      <c r="A148" s="1559" t="s">
        <v>698</v>
      </c>
      <c r="B148" s="1448">
        <f ca="1">B133-B140</f>
        <v>0</v>
      </c>
      <c r="C148" s="1558"/>
      <c r="D148" s="522"/>
      <c r="E148" s="522"/>
      <c r="F148" s="522"/>
      <c r="G148" s="520"/>
      <c r="H148" s="520"/>
      <c r="I148" s="520"/>
      <c r="J148" s="520"/>
      <c r="K148" s="624" t="s">
        <v>56</v>
      </c>
      <c r="L148" s="523"/>
      <c r="M148" s="523"/>
    </row>
    <row r="149" spans="1:13" ht="15.75" x14ac:dyDescent="0.25">
      <c r="A149" s="1559" t="s">
        <v>699</v>
      </c>
      <c r="B149" s="1450">
        <f ca="1">B148-B144</f>
        <v>0</v>
      </c>
      <c r="C149" s="1558"/>
      <c r="D149" s="531">
        <f ca="1">B133-B146</f>
        <v>0</v>
      </c>
      <c r="E149" s="522"/>
      <c r="F149" s="522"/>
      <c r="G149" s="520"/>
      <c r="H149" s="520"/>
      <c r="I149" s="520"/>
      <c r="J149" s="520"/>
      <c r="K149" s="624" t="s">
        <v>56</v>
      </c>
      <c r="L149" s="523"/>
      <c r="M149" s="523"/>
    </row>
    <row r="150" spans="1:13" ht="16.5" thickBot="1" x14ac:dyDescent="0.3">
      <c r="A150" s="1560"/>
      <c r="B150" s="1561"/>
      <c r="C150" s="1562"/>
      <c r="D150" s="522"/>
      <c r="E150" s="522"/>
      <c r="F150" s="522"/>
      <c r="G150" s="520"/>
      <c r="H150" s="520"/>
      <c r="I150" s="520"/>
      <c r="J150" s="520"/>
      <c r="K150" s="624" t="s">
        <v>56</v>
      </c>
      <c r="L150" s="523"/>
      <c r="M150" s="523"/>
    </row>
    <row r="151" spans="1:13" ht="16.5" thickBot="1" x14ac:dyDescent="0.3">
      <c r="A151" s="1505"/>
      <c r="B151" s="1506"/>
      <c r="C151" s="1505"/>
      <c r="D151" s="522"/>
      <c r="E151" s="522"/>
      <c r="F151" s="522"/>
      <c r="G151" s="520"/>
      <c r="H151" s="520"/>
      <c r="I151" s="520"/>
      <c r="J151" s="520"/>
      <c r="K151" s="624" t="s">
        <v>56</v>
      </c>
      <c r="L151" s="523"/>
      <c r="M151" s="523"/>
    </row>
    <row r="152" spans="1:13" ht="24" thickBot="1" x14ac:dyDescent="0.4">
      <c r="A152" s="1544" t="s">
        <v>155</v>
      </c>
      <c r="B152" s="3063" t="str">
        <f>PRODUÇÃO!B12</f>
        <v/>
      </c>
      <c r="C152" s="3064"/>
      <c r="D152" s="522"/>
      <c r="E152" s="522"/>
      <c r="F152" s="522"/>
      <c r="G152" s="520"/>
      <c r="H152" s="520"/>
      <c r="I152" s="520"/>
      <c r="J152" s="520"/>
      <c r="K152" s="624" t="s">
        <v>56</v>
      </c>
      <c r="L152" s="523"/>
      <c r="M152" s="523"/>
    </row>
    <row r="153" spans="1:13" ht="15.75" x14ac:dyDescent="0.25">
      <c r="A153" s="3075" t="s">
        <v>696</v>
      </c>
      <c r="B153" s="3076"/>
      <c r="C153" s="3077"/>
      <c r="D153" s="522"/>
      <c r="E153" s="522"/>
      <c r="F153" s="522"/>
      <c r="G153" s="520"/>
      <c r="H153" s="520"/>
      <c r="I153" s="520"/>
      <c r="J153" s="520"/>
      <c r="K153" s="624" t="s">
        <v>56</v>
      </c>
      <c r="L153" s="523"/>
      <c r="M153" s="523"/>
    </row>
    <row r="154" spans="1:13" ht="15.75" x14ac:dyDescent="0.25">
      <c r="A154" s="1563" t="s">
        <v>169</v>
      </c>
      <c r="B154" s="1410" t="s">
        <v>87</v>
      </c>
      <c r="C154" s="1510" t="s">
        <v>88</v>
      </c>
      <c r="D154" s="522"/>
      <c r="E154" s="522"/>
      <c r="F154" s="522"/>
      <c r="G154" s="520"/>
      <c r="H154" s="520"/>
      <c r="I154" s="520"/>
      <c r="J154" s="520"/>
      <c r="K154" s="624" t="s">
        <v>56</v>
      </c>
      <c r="L154" s="523"/>
      <c r="M154" s="523"/>
    </row>
    <row r="155" spans="1:13" ht="15.75" x14ac:dyDescent="0.25">
      <c r="A155" s="1507" t="s">
        <v>180</v>
      </c>
      <c r="B155" s="1410">
        <f>PRODUÇÃO!U12</f>
        <v>0</v>
      </c>
      <c r="C155" s="1564"/>
      <c r="D155" s="522"/>
      <c r="E155" s="522"/>
      <c r="F155" s="522"/>
      <c r="G155" s="520"/>
      <c r="H155" s="520"/>
      <c r="I155" s="520"/>
      <c r="J155" s="528"/>
      <c r="K155" s="624" t="s">
        <v>56</v>
      </c>
      <c r="L155" s="523"/>
      <c r="M155" s="523"/>
    </row>
    <row r="156" spans="1:13" ht="15.75" x14ac:dyDescent="0.25">
      <c r="A156" s="1565"/>
      <c r="B156" s="1410"/>
      <c r="C156" s="1564"/>
      <c r="D156" s="522"/>
      <c r="E156" s="522"/>
      <c r="F156" s="522"/>
      <c r="G156" s="520"/>
      <c r="H156" s="520"/>
      <c r="I156" s="520"/>
      <c r="J156" s="520"/>
      <c r="K156" s="624" t="s">
        <v>56</v>
      </c>
      <c r="L156" s="523"/>
      <c r="M156" s="523"/>
    </row>
    <row r="157" spans="1:13" ht="15.75" x14ac:dyDescent="0.25">
      <c r="A157" s="1566" t="s">
        <v>184</v>
      </c>
      <c r="B157" s="1457">
        <f>SUMIF(B155:B156,"&gt;0",B155:B156)</f>
        <v>0</v>
      </c>
      <c r="C157" s="1564"/>
      <c r="D157" s="522"/>
      <c r="E157" s="522"/>
      <c r="F157" s="522"/>
      <c r="G157" s="520"/>
      <c r="H157" s="520"/>
      <c r="I157" s="520"/>
      <c r="J157" s="520"/>
      <c r="K157" s="624" t="s">
        <v>56</v>
      </c>
      <c r="L157" s="523"/>
      <c r="M157" s="523"/>
    </row>
    <row r="158" spans="1:13" ht="15.75" x14ac:dyDescent="0.25">
      <c r="A158" s="1514" t="s">
        <v>697</v>
      </c>
      <c r="B158" s="1410"/>
      <c r="C158" s="1564"/>
      <c r="D158" s="522"/>
      <c r="E158" s="522"/>
      <c r="F158" s="522"/>
      <c r="G158" s="520"/>
      <c r="H158" s="520"/>
      <c r="I158" s="520"/>
      <c r="J158" s="520"/>
      <c r="K158" s="624" t="s">
        <v>56</v>
      </c>
      <c r="L158" s="523"/>
      <c r="M158" s="523"/>
    </row>
    <row r="159" spans="1:13" ht="15.75" x14ac:dyDescent="0.25">
      <c r="A159" s="1565" t="s">
        <v>181</v>
      </c>
      <c r="B159" s="1410">
        <f>'resumo gastos CULTIVOS'!D65</f>
        <v>0</v>
      </c>
      <c r="C159" s="1564" t="e">
        <f ca="1">B159/$B$171</f>
        <v>#DIV/0!</v>
      </c>
      <c r="D159" s="522"/>
      <c r="E159" s="522"/>
      <c r="F159" s="522"/>
      <c r="G159" s="520"/>
      <c r="H159" s="520"/>
      <c r="I159" s="520"/>
      <c r="J159" s="520"/>
      <c r="K159" s="624" t="s">
        <v>56</v>
      </c>
      <c r="L159" s="523"/>
      <c r="M159" s="523"/>
    </row>
    <row r="160" spans="1:13" ht="15.75" x14ac:dyDescent="0.25">
      <c r="A160" s="1565" t="s">
        <v>307</v>
      </c>
      <c r="B160" s="1458">
        <f>'resumo gastos CULTIVOS'!E65</f>
        <v>0</v>
      </c>
      <c r="C160" s="1564" t="e">
        <f t="shared" ref="C160:C171" ca="1" si="5">B160/$B$171</f>
        <v>#DIV/0!</v>
      </c>
      <c r="D160" s="522"/>
      <c r="E160" s="522"/>
      <c r="F160" s="522"/>
      <c r="G160" s="520"/>
      <c r="H160" s="520"/>
      <c r="I160" s="520"/>
      <c r="J160" s="520"/>
      <c r="K160" s="624" t="s">
        <v>56</v>
      </c>
      <c r="L160" s="523"/>
      <c r="M160" s="523"/>
    </row>
    <row r="161" spans="1:13" ht="15.75" x14ac:dyDescent="0.25">
      <c r="A161" s="1567" t="s">
        <v>302</v>
      </c>
      <c r="B161" s="1458">
        <f>'resumo gastos CULTIVOS'!F65</f>
        <v>0</v>
      </c>
      <c r="C161" s="1564" t="e">
        <f t="shared" ca="1" si="5"/>
        <v>#DIV/0!</v>
      </c>
      <c r="D161" s="522"/>
      <c r="E161" s="522"/>
      <c r="F161" s="522"/>
      <c r="G161" s="520"/>
      <c r="H161" s="520"/>
      <c r="I161" s="520"/>
      <c r="J161" s="520"/>
      <c r="K161" s="624" t="s">
        <v>56</v>
      </c>
      <c r="L161" s="523"/>
      <c r="M161" s="523"/>
    </row>
    <row r="162" spans="1:13" ht="15.75" x14ac:dyDescent="0.25">
      <c r="A162" s="1565" t="s">
        <v>308</v>
      </c>
      <c r="B162" s="1458">
        <f ca="1">'resumo gastos CULTIVOS'!H65</f>
        <v>0</v>
      </c>
      <c r="C162" s="1564" t="e">
        <f t="shared" ca="1" si="5"/>
        <v>#DIV/0!</v>
      </c>
      <c r="D162" s="522"/>
      <c r="E162" s="522"/>
      <c r="F162" s="522"/>
      <c r="G162" s="520"/>
      <c r="H162" s="520"/>
      <c r="I162" s="520"/>
      <c r="J162" s="520"/>
      <c r="K162" s="624" t="s">
        <v>56</v>
      </c>
      <c r="L162" s="523"/>
      <c r="M162" s="523"/>
    </row>
    <row r="163" spans="1:13" ht="15.75" x14ac:dyDescent="0.25">
      <c r="A163" s="1565" t="s">
        <v>309</v>
      </c>
      <c r="B163" s="1458">
        <f>'resumo gastos CULTIVOS'!J65</f>
        <v>0</v>
      </c>
      <c r="C163" s="1564" t="e">
        <f t="shared" ca="1" si="5"/>
        <v>#DIV/0!</v>
      </c>
      <c r="D163" s="522"/>
      <c r="E163" s="522"/>
      <c r="F163" s="522"/>
      <c r="G163" s="520"/>
      <c r="H163" s="520"/>
      <c r="I163" s="520"/>
      <c r="J163" s="520"/>
      <c r="K163" s="624" t="s">
        <v>56</v>
      </c>
      <c r="L163" s="523"/>
      <c r="M163" s="523"/>
    </row>
    <row r="164" spans="1:13" ht="15.75" x14ac:dyDescent="0.25">
      <c r="A164" s="1565"/>
      <c r="B164" s="1457">
        <f ca="1">SUMIF(B159:B163,"&gt;0",B159:B163)</f>
        <v>0</v>
      </c>
      <c r="C164" s="1564"/>
      <c r="D164" s="522"/>
      <c r="E164" s="522"/>
      <c r="F164" s="522"/>
      <c r="G164" s="520"/>
      <c r="H164" s="520"/>
      <c r="I164" s="520"/>
      <c r="J164" s="520"/>
      <c r="K164" s="624" t="s">
        <v>56</v>
      </c>
      <c r="L164" s="523"/>
      <c r="M164" s="523"/>
    </row>
    <row r="165" spans="1:13" ht="15.75" x14ac:dyDescent="0.25">
      <c r="A165" s="1514" t="s">
        <v>691</v>
      </c>
      <c r="B165" s="1410"/>
      <c r="C165" s="1564" t="e">
        <f t="shared" ca="1" si="5"/>
        <v>#DIV/0!</v>
      </c>
      <c r="D165" s="522"/>
      <c r="E165" s="522"/>
      <c r="F165" s="522"/>
      <c r="G165" s="520"/>
      <c r="H165" s="520"/>
      <c r="I165" s="520"/>
      <c r="J165" s="520"/>
      <c r="K165" s="624" t="s">
        <v>56</v>
      </c>
      <c r="L165" s="523"/>
      <c r="M165" s="523"/>
    </row>
    <row r="166" spans="1:13" ht="15.75" x14ac:dyDescent="0.25">
      <c r="A166" s="1565" t="s">
        <v>182</v>
      </c>
      <c r="B166" s="1409">
        <f>'resumo gastos CULTIVOS'!G65</f>
        <v>0</v>
      </c>
      <c r="C166" s="1564" t="e">
        <f t="shared" ca="1" si="5"/>
        <v>#DIV/0!</v>
      </c>
      <c r="D166" s="522"/>
      <c r="E166" s="522"/>
      <c r="F166" s="522"/>
      <c r="G166" s="520"/>
      <c r="H166" s="520"/>
      <c r="I166" s="520"/>
      <c r="J166" s="520"/>
      <c r="K166" s="624" t="s">
        <v>56</v>
      </c>
      <c r="L166" s="523"/>
      <c r="M166" s="523"/>
    </row>
    <row r="167" spans="1:13" ht="15.75" x14ac:dyDescent="0.25">
      <c r="A167" s="1565" t="s">
        <v>183</v>
      </c>
      <c r="B167" s="1409">
        <f>'resumo gastos CULTIVOS'!I65</f>
        <v>0</v>
      </c>
      <c r="C167" s="1564" t="e">
        <f t="shared" ca="1" si="5"/>
        <v>#DIV/0!</v>
      </c>
      <c r="D167" s="522"/>
      <c r="E167" s="522"/>
      <c r="F167" s="522"/>
      <c r="G167" s="520"/>
      <c r="H167" s="520"/>
      <c r="I167" s="520"/>
      <c r="J167" s="520"/>
      <c r="K167" s="624" t="s">
        <v>56</v>
      </c>
      <c r="L167" s="523"/>
      <c r="M167" s="523"/>
    </row>
    <row r="168" spans="1:13" ht="15.75" x14ac:dyDescent="0.25">
      <c r="A168" s="1568" t="s">
        <v>60</v>
      </c>
      <c r="B168" s="1457">
        <f>SUMIF(B166:B167,"&gt;0",B166:B167)</f>
        <v>0</v>
      </c>
      <c r="C168" s="1564"/>
      <c r="D168" s="530">
        <f>B168</f>
        <v>0</v>
      </c>
      <c r="E168" s="522"/>
      <c r="F168" s="522"/>
      <c r="G168" s="520"/>
      <c r="H168" s="520"/>
      <c r="I168" s="520"/>
      <c r="J168" s="520"/>
      <c r="K168" s="624" t="s">
        <v>56</v>
      </c>
      <c r="L168" s="523"/>
      <c r="M168" s="523"/>
    </row>
    <row r="169" spans="1:13" ht="15.75" x14ac:dyDescent="0.25">
      <c r="A169" s="1507"/>
      <c r="B169" s="1409"/>
      <c r="C169" s="1564"/>
      <c r="D169" s="522"/>
      <c r="E169" s="522"/>
      <c r="F169" s="522"/>
      <c r="G169" s="520"/>
      <c r="H169" s="520"/>
      <c r="I169" s="520"/>
      <c r="J169" s="520"/>
      <c r="K169" s="624" t="s">
        <v>56</v>
      </c>
      <c r="L169" s="523"/>
      <c r="M169" s="523"/>
    </row>
    <row r="170" spans="1:13" ht="15.75" x14ac:dyDescent="0.25">
      <c r="A170" s="1568"/>
      <c r="B170" s="1457"/>
      <c r="C170" s="1564"/>
      <c r="D170" s="522"/>
      <c r="E170" s="522"/>
      <c r="F170" s="522"/>
      <c r="G170" s="520"/>
      <c r="H170" s="520"/>
      <c r="I170" s="520"/>
      <c r="J170" s="520"/>
      <c r="K170" s="624" t="s">
        <v>56</v>
      </c>
      <c r="L170" s="523"/>
      <c r="M170" s="523"/>
    </row>
    <row r="171" spans="1:13" ht="15.75" x14ac:dyDescent="0.25">
      <c r="A171" s="1518" t="s">
        <v>700</v>
      </c>
      <c r="B171" s="1459">
        <f ca="1">B164+B168</f>
        <v>0</v>
      </c>
      <c r="C171" s="1564" t="e">
        <f t="shared" ca="1" si="5"/>
        <v>#DIV/0!</v>
      </c>
      <c r="D171" s="522"/>
      <c r="E171" s="522"/>
      <c r="F171" s="522"/>
      <c r="G171" s="520"/>
      <c r="H171" s="520"/>
      <c r="I171" s="520"/>
      <c r="J171" s="520"/>
      <c r="K171" s="624" t="s">
        <v>56</v>
      </c>
      <c r="L171" s="523"/>
      <c r="M171" s="523"/>
    </row>
    <row r="172" spans="1:13" ht="15.75" x14ac:dyDescent="0.25">
      <c r="A172" s="1514" t="s">
        <v>270</v>
      </c>
      <c r="B172" s="1411"/>
      <c r="C172" s="1508"/>
      <c r="D172" s="522"/>
      <c r="E172" s="522"/>
      <c r="F172" s="522"/>
      <c r="G172" s="520"/>
      <c r="H172" s="520"/>
      <c r="I172" s="520"/>
      <c r="J172" s="520"/>
      <c r="K172" s="624" t="s">
        <v>56</v>
      </c>
      <c r="L172" s="523"/>
      <c r="M172" s="523"/>
    </row>
    <row r="173" spans="1:13" ht="15.75" x14ac:dyDescent="0.25">
      <c r="A173" s="1519" t="s">
        <v>698</v>
      </c>
      <c r="B173" s="1409">
        <f ca="1">B157-B164</f>
        <v>0</v>
      </c>
      <c r="C173" s="1508"/>
      <c r="D173" s="522"/>
      <c r="E173" s="522"/>
      <c r="F173" s="522"/>
      <c r="G173" s="520"/>
      <c r="H173" s="520"/>
      <c r="I173" s="520"/>
      <c r="J173" s="528"/>
      <c r="K173" s="624" t="s">
        <v>56</v>
      </c>
      <c r="L173" s="523"/>
      <c r="M173" s="523"/>
    </row>
    <row r="174" spans="1:13" ht="15.75" x14ac:dyDescent="0.25">
      <c r="A174" s="1519" t="s">
        <v>699</v>
      </c>
      <c r="B174" s="1411">
        <f ca="1">B173-B168</f>
        <v>0</v>
      </c>
      <c r="C174" s="1508"/>
      <c r="D174" s="522"/>
      <c r="E174" s="522"/>
      <c r="F174" s="522"/>
      <c r="G174" s="520"/>
      <c r="H174" s="520"/>
      <c r="I174" s="520"/>
      <c r="J174" s="520"/>
      <c r="K174" s="624" t="s">
        <v>56</v>
      </c>
      <c r="L174" s="523"/>
      <c r="M174" s="523"/>
    </row>
    <row r="175" spans="1:13" ht="16.5" thickBot="1" x14ac:dyDescent="0.3">
      <c r="A175" s="1571"/>
      <c r="B175" s="1522"/>
      <c r="C175" s="1572"/>
      <c r="D175" s="522"/>
      <c r="E175" s="522"/>
      <c r="F175" s="522"/>
      <c r="G175" s="520"/>
      <c r="H175" s="520"/>
      <c r="I175" s="520"/>
      <c r="J175" s="520"/>
      <c r="K175" s="624" t="s">
        <v>56</v>
      </c>
      <c r="L175" s="523"/>
      <c r="M175" s="523"/>
    </row>
    <row r="176" spans="1:13" ht="16.5" thickBot="1" x14ac:dyDescent="0.3">
      <c r="A176" s="1505"/>
      <c r="B176" s="1506"/>
      <c r="C176" s="1505"/>
      <c r="D176" s="522"/>
      <c r="E176" s="522"/>
      <c r="F176" s="522"/>
      <c r="G176" s="520"/>
      <c r="H176" s="520"/>
      <c r="I176" s="520"/>
      <c r="J176" s="520"/>
      <c r="K176" s="624" t="s">
        <v>56</v>
      </c>
      <c r="L176" s="523"/>
      <c r="M176" s="523"/>
    </row>
    <row r="177" spans="1:13" ht="24" thickBot="1" x14ac:dyDescent="0.4">
      <c r="A177" s="1545" t="s">
        <v>155</v>
      </c>
      <c r="B177" s="3061" t="str">
        <f>PRODUÇÃO!B13</f>
        <v/>
      </c>
      <c r="C177" s="3062"/>
      <c r="D177" s="522"/>
      <c r="E177" s="522"/>
      <c r="F177" s="522"/>
      <c r="G177" s="520"/>
      <c r="H177" s="520"/>
      <c r="I177" s="520"/>
      <c r="J177" s="520"/>
      <c r="K177" s="624" t="s">
        <v>56</v>
      </c>
      <c r="L177" s="523"/>
      <c r="M177" s="523"/>
    </row>
    <row r="178" spans="1:13" ht="15.75" x14ac:dyDescent="0.25">
      <c r="A178" s="3078" t="s">
        <v>696</v>
      </c>
      <c r="B178" s="3079"/>
      <c r="C178" s="3080"/>
      <c r="D178" s="522"/>
      <c r="E178" s="522"/>
      <c r="F178" s="522"/>
      <c r="G178" s="520"/>
      <c r="H178" s="520"/>
      <c r="I178" s="520"/>
      <c r="J178" s="520"/>
      <c r="K178" s="624" t="s">
        <v>56</v>
      </c>
      <c r="L178" s="523"/>
      <c r="M178" s="523"/>
    </row>
    <row r="179" spans="1:13" ht="15.75" x14ac:dyDescent="0.25">
      <c r="A179" s="1471" t="s">
        <v>169</v>
      </c>
      <c r="B179" s="1429" t="s">
        <v>87</v>
      </c>
      <c r="C179" s="1472" t="s">
        <v>88</v>
      </c>
      <c r="D179" s="522"/>
      <c r="E179" s="522"/>
      <c r="F179" s="522"/>
      <c r="G179" s="520"/>
      <c r="H179" s="520"/>
      <c r="I179" s="520"/>
      <c r="J179" s="520"/>
      <c r="K179" s="624" t="s">
        <v>56</v>
      </c>
      <c r="L179" s="523"/>
      <c r="M179" s="523"/>
    </row>
    <row r="180" spans="1:13" ht="15.75" x14ac:dyDescent="0.25">
      <c r="A180" s="1473" t="s">
        <v>180</v>
      </c>
      <c r="B180" s="1429">
        <f>PRODUÇÃO!U13</f>
        <v>0</v>
      </c>
      <c r="C180" s="1474"/>
      <c r="D180" s="522"/>
      <c r="E180" s="522"/>
      <c r="F180" s="522"/>
      <c r="G180" s="520"/>
      <c r="H180" s="520"/>
      <c r="I180" s="520"/>
      <c r="J180" s="520"/>
      <c r="K180" s="624" t="s">
        <v>56</v>
      </c>
      <c r="L180" s="523"/>
      <c r="M180" s="523"/>
    </row>
    <row r="181" spans="1:13" ht="15.75" x14ac:dyDescent="0.25">
      <c r="A181" s="1477"/>
      <c r="B181" s="1429"/>
      <c r="C181" s="1474"/>
      <c r="D181" s="522"/>
      <c r="E181" s="522"/>
      <c r="F181" s="522"/>
      <c r="G181" s="520"/>
      <c r="H181" s="520"/>
      <c r="I181" s="520"/>
      <c r="J181" s="520"/>
      <c r="K181" s="624" t="s">
        <v>56</v>
      </c>
      <c r="L181" s="523"/>
      <c r="M181" s="523"/>
    </row>
    <row r="182" spans="1:13" ht="15.75" x14ac:dyDescent="0.25">
      <c r="A182" s="1479" t="s">
        <v>184</v>
      </c>
      <c r="B182" s="1430">
        <f>SUMIF(B180:B181,"&gt;0",B180:B181)</f>
        <v>0</v>
      </c>
      <c r="C182" s="1474"/>
      <c r="D182" s="522"/>
      <c r="E182" s="522"/>
      <c r="F182" s="522"/>
      <c r="G182" s="520"/>
      <c r="H182" s="520"/>
      <c r="I182" s="520"/>
      <c r="J182" s="520"/>
      <c r="K182" s="624" t="s">
        <v>56</v>
      </c>
      <c r="L182" s="523"/>
      <c r="M182" s="523"/>
    </row>
    <row r="183" spans="1:13" ht="15.75" x14ac:dyDescent="0.25">
      <c r="A183" s="1476" t="s">
        <v>697</v>
      </c>
      <c r="B183" s="1429"/>
      <c r="C183" s="1474"/>
      <c r="D183" s="522"/>
      <c r="E183" s="522"/>
      <c r="F183" s="522"/>
      <c r="G183" s="520"/>
      <c r="H183" s="520"/>
      <c r="I183" s="520"/>
      <c r="J183" s="520"/>
      <c r="K183" s="624" t="s">
        <v>56</v>
      </c>
      <c r="L183" s="523"/>
      <c r="M183" s="523"/>
    </row>
    <row r="184" spans="1:13" ht="15.75" x14ac:dyDescent="0.25">
      <c r="A184" s="1477" t="s">
        <v>181</v>
      </c>
      <c r="B184" s="1429">
        <f>'resumo gastos CULTIVOS'!D66</f>
        <v>0</v>
      </c>
      <c r="C184" s="1474" t="e">
        <f ca="1">B184/$B$195</f>
        <v>#DIV/0!</v>
      </c>
      <c r="D184" s="522"/>
      <c r="E184" s="522"/>
      <c r="F184" s="522"/>
      <c r="G184" s="520"/>
      <c r="H184" s="520"/>
      <c r="I184" s="520"/>
      <c r="J184" s="520"/>
      <c r="K184" s="624" t="s">
        <v>56</v>
      </c>
      <c r="L184" s="523"/>
      <c r="M184" s="523"/>
    </row>
    <row r="185" spans="1:13" ht="15.75" x14ac:dyDescent="0.25">
      <c r="A185" s="1477" t="s">
        <v>307</v>
      </c>
      <c r="B185" s="1432">
        <f>'resumo gastos CULTIVOS'!E66</f>
        <v>0</v>
      </c>
      <c r="C185" s="1474" t="e">
        <f t="shared" ref="C185:C195" ca="1" si="6">B185/$B$195</f>
        <v>#DIV/0!</v>
      </c>
      <c r="D185" s="522"/>
      <c r="E185" s="522"/>
      <c r="F185" s="522"/>
      <c r="G185" s="520"/>
      <c r="H185" s="520"/>
      <c r="I185" s="520"/>
      <c r="J185" s="520"/>
      <c r="K185" s="624" t="s">
        <v>56</v>
      </c>
      <c r="L185" s="523"/>
      <c r="M185" s="523"/>
    </row>
    <row r="186" spans="1:13" ht="15.75" x14ac:dyDescent="0.25">
      <c r="A186" s="1478" t="s">
        <v>302</v>
      </c>
      <c r="B186" s="1432">
        <f>'resumo gastos CULTIVOS'!F66</f>
        <v>0</v>
      </c>
      <c r="C186" s="1474" t="e">
        <f t="shared" ca="1" si="6"/>
        <v>#DIV/0!</v>
      </c>
      <c r="D186" s="522"/>
      <c r="E186" s="522"/>
      <c r="F186" s="522"/>
      <c r="G186" s="520"/>
      <c r="H186" s="520"/>
      <c r="I186" s="520"/>
      <c r="J186" s="520"/>
      <c r="K186" s="624" t="s">
        <v>56</v>
      </c>
      <c r="L186" s="523"/>
      <c r="M186" s="523"/>
    </row>
    <row r="187" spans="1:13" ht="15.75" x14ac:dyDescent="0.25">
      <c r="A187" s="1477" t="s">
        <v>308</v>
      </c>
      <c r="B187" s="1432">
        <f ca="1">'resumo gastos CULTIVOS'!H66</f>
        <v>0</v>
      </c>
      <c r="C187" s="1474" t="e">
        <f t="shared" ca="1" si="6"/>
        <v>#DIV/0!</v>
      </c>
      <c r="D187" s="522"/>
      <c r="E187" s="522"/>
      <c r="F187" s="522"/>
      <c r="G187" s="520"/>
      <c r="H187" s="520"/>
      <c r="I187" s="520"/>
      <c r="J187" s="520"/>
      <c r="K187" s="624" t="s">
        <v>56</v>
      </c>
      <c r="L187" s="523"/>
      <c r="M187" s="523"/>
    </row>
    <row r="188" spans="1:13" ht="15.75" x14ac:dyDescent="0.25">
      <c r="A188" s="1477" t="s">
        <v>309</v>
      </c>
      <c r="B188" s="1432">
        <f>'resumo gastos CULTIVOS'!J66</f>
        <v>0</v>
      </c>
      <c r="C188" s="1474" t="e">
        <f t="shared" ca="1" si="6"/>
        <v>#DIV/0!</v>
      </c>
      <c r="D188" s="522"/>
      <c r="E188" s="522"/>
      <c r="F188" s="522"/>
      <c r="G188" s="520"/>
      <c r="H188" s="520"/>
      <c r="I188" s="520"/>
      <c r="J188" s="520"/>
      <c r="K188" s="624" t="s">
        <v>56</v>
      </c>
      <c r="L188" s="523"/>
      <c r="M188" s="523"/>
    </row>
    <row r="189" spans="1:13" ht="15.75" x14ac:dyDescent="0.25">
      <c r="A189" s="1477"/>
      <c r="B189" s="1430">
        <f ca="1">SUMIF(B184:B188,"&gt;0",B184:B188)</f>
        <v>0</v>
      </c>
      <c r="C189" s="1474"/>
      <c r="D189" s="522"/>
      <c r="E189" s="522"/>
      <c r="F189" s="522"/>
      <c r="G189" s="520"/>
      <c r="H189" s="520"/>
      <c r="I189" s="520"/>
      <c r="J189" s="520"/>
      <c r="K189" s="624" t="s">
        <v>56</v>
      </c>
      <c r="L189" s="523"/>
      <c r="M189" s="523"/>
    </row>
    <row r="190" spans="1:13" ht="15.75" x14ac:dyDescent="0.25">
      <c r="A190" s="1476" t="s">
        <v>691</v>
      </c>
      <c r="B190" s="1429"/>
      <c r="C190" s="1474" t="e">
        <f t="shared" ca="1" si="6"/>
        <v>#DIV/0!</v>
      </c>
      <c r="D190" s="522"/>
      <c r="E190" s="522"/>
      <c r="F190" s="522"/>
      <c r="G190" s="520"/>
      <c r="H190" s="520"/>
      <c r="I190" s="520"/>
      <c r="J190" s="520"/>
      <c r="K190" s="624" t="s">
        <v>56</v>
      </c>
      <c r="L190" s="523"/>
      <c r="M190" s="523"/>
    </row>
    <row r="191" spans="1:13" ht="15.75" x14ac:dyDescent="0.25">
      <c r="A191" s="1477" t="s">
        <v>182</v>
      </c>
      <c r="B191" s="1434">
        <f>'resumo gastos CULTIVOS'!G66</f>
        <v>0</v>
      </c>
      <c r="C191" s="1474" t="e">
        <f t="shared" ca="1" si="6"/>
        <v>#DIV/0!</v>
      </c>
      <c r="D191" s="522"/>
      <c r="E191" s="522"/>
      <c r="F191" s="522"/>
      <c r="G191" s="520"/>
      <c r="H191" s="520"/>
      <c r="I191" s="520"/>
      <c r="J191" s="520"/>
      <c r="K191" s="624" t="s">
        <v>56</v>
      </c>
      <c r="L191" s="523"/>
      <c r="M191" s="523"/>
    </row>
    <row r="192" spans="1:13" ht="15.75" x14ac:dyDescent="0.25">
      <c r="A192" s="1477" t="s">
        <v>183</v>
      </c>
      <c r="B192" s="1434">
        <f>'resumo gastos CULTIVOS'!I66</f>
        <v>0</v>
      </c>
      <c r="C192" s="1474" t="e">
        <f t="shared" ca="1" si="6"/>
        <v>#DIV/0!</v>
      </c>
      <c r="D192" s="522"/>
      <c r="E192" s="522"/>
      <c r="F192" s="522"/>
      <c r="G192" s="520"/>
      <c r="H192" s="520"/>
      <c r="I192" s="520"/>
      <c r="J192" s="520"/>
      <c r="K192" s="624" t="s">
        <v>56</v>
      </c>
      <c r="L192" s="523"/>
      <c r="M192" s="523"/>
    </row>
    <row r="193" spans="1:13" ht="15.75" x14ac:dyDescent="0.25">
      <c r="A193" s="1569" t="s">
        <v>60</v>
      </c>
      <c r="B193" s="1430">
        <f>SUMIF(B191:B192,"&gt;0",B191:B192)</f>
        <v>0</v>
      </c>
      <c r="C193" s="1474"/>
      <c r="D193" s="530">
        <f>B193</f>
        <v>0</v>
      </c>
      <c r="E193" s="522"/>
      <c r="F193" s="522"/>
      <c r="G193" s="520"/>
      <c r="H193" s="520"/>
      <c r="I193" s="520"/>
      <c r="J193" s="520"/>
      <c r="K193" s="624" t="s">
        <v>56</v>
      </c>
      <c r="L193" s="523"/>
      <c r="M193" s="523"/>
    </row>
    <row r="194" spans="1:13" ht="15.75" x14ac:dyDescent="0.25">
      <c r="A194" s="1570"/>
      <c r="B194" s="1460"/>
      <c r="C194" s="1474" t="e">
        <f t="shared" ca="1" si="6"/>
        <v>#DIV/0!</v>
      </c>
      <c r="D194" s="522"/>
      <c r="E194" s="522"/>
      <c r="F194" s="522"/>
      <c r="G194" s="520"/>
      <c r="H194" s="520"/>
      <c r="I194" s="520"/>
      <c r="J194" s="520"/>
      <c r="K194" s="624" t="s">
        <v>56</v>
      </c>
      <c r="L194" s="523"/>
      <c r="M194" s="523"/>
    </row>
    <row r="195" spans="1:13" ht="15.75" x14ac:dyDescent="0.25">
      <c r="A195" s="1481" t="s">
        <v>700</v>
      </c>
      <c r="B195" s="1460">
        <f ca="1">B189+B193</f>
        <v>0</v>
      </c>
      <c r="C195" s="1474" t="e">
        <f t="shared" ca="1" si="6"/>
        <v>#DIV/0!</v>
      </c>
      <c r="D195" s="522"/>
      <c r="E195" s="522"/>
      <c r="F195" s="522"/>
      <c r="G195" s="520"/>
      <c r="H195" s="520"/>
      <c r="I195" s="520"/>
      <c r="J195" s="520"/>
      <c r="K195" s="624" t="s">
        <v>56</v>
      </c>
      <c r="L195" s="523"/>
      <c r="M195" s="523"/>
    </row>
    <row r="196" spans="1:13" ht="15.75" x14ac:dyDescent="0.25">
      <c r="A196" s="1476" t="s">
        <v>270</v>
      </c>
      <c r="B196" s="1435"/>
      <c r="C196" s="1482"/>
      <c r="D196" s="522"/>
      <c r="E196" s="522"/>
      <c r="F196" s="522"/>
      <c r="G196" s="520"/>
      <c r="H196" s="520"/>
      <c r="I196" s="520"/>
      <c r="J196" s="520"/>
      <c r="K196" s="624" t="s">
        <v>56</v>
      </c>
      <c r="L196" s="523"/>
      <c r="M196" s="523"/>
    </row>
    <row r="197" spans="1:13" ht="15.75" x14ac:dyDescent="0.25">
      <c r="A197" s="1483" t="s">
        <v>698</v>
      </c>
      <c r="B197" s="1434">
        <f ca="1">B182-B189</f>
        <v>0</v>
      </c>
      <c r="C197" s="1482"/>
      <c r="D197" s="522"/>
      <c r="E197" s="522"/>
      <c r="F197" s="522"/>
      <c r="G197" s="520"/>
      <c r="H197" s="520"/>
      <c r="I197" s="520"/>
      <c r="J197" s="520"/>
      <c r="K197" s="624" t="s">
        <v>56</v>
      </c>
      <c r="L197" s="523"/>
      <c r="M197" s="523"/>
    </row>
    <row r="198" spans="1:13" ht="15.75" x14ac:dyDescent="0.25">
      <c r="A198" s="1483" t="s">
        <v>699</v>
      </c>
      <c r="B198" s="1435">
        <f ca="1">B197-B193</f>
        <v>0</v>
      </c>
      <c r="C198" s="1482"/>
      <c r="D198" s="522"/>
      <c r="E198" s="522"/>
      <c r="F198" s="522"/>
      <c r="G198" s="520"/>
      <c r="H198" s="520"/>
      <c r="I198" s="520"/>
      <c r="J198" s="520"/>
      <c r="K198" s="624" t="s">
        <v>56</v>
      </c>
      <c r="L198" s="523"/>
      <c r="M198" s="523"/>
    </row>
    <row r="199" spans="1:13" ht="16.5" thickBot="1" x14ac:dyDescent="0.3">
      <c r="A199" s="1484"/>
      <c r="B199" s="1485"/>
      <c r="C199" s="1486"/>
      <c r="D199" s="522"/>
      <c r="E199" s="522"/>
      <c r="F199" s="522"/>
      <c r="G199" s="520"/>
      <c r="H199" s="520"/>
      <c r="I199" s="520"/>
      <c r="J199" s="520"/>
      <c r="K199" s="624" t="s">
        <v>56</v>
      </c>
      <c r="L199" s="523"/>
      <c r="M199" s="523"/>
    </row>
    <row r="200" spans="1:13" ht="16.5" thickBot="1" x14ac:dyDescent="0.3">
      <c r="A200" s="1505"/>
      <c r="B200" s="1506"/>
      <c r="C200" s="1505"/>
      <c r="D200" s="522"/>
      <c r="E200" s="522"/>
      <c r="F200" s="522"/>
      <c r="G200" s="520"/>
      <c r="H200" s="520"/>
      <c r="I200" s="520"/>
      <c r="J200" s="520"/>
      <c r="K200" s="624" t="s">
        <v>56</v>
      </c>
      <c r="L200" s="523"/>
      <c r="M200" s="523"/>
    </row>
    <row r="201" spans="1:13" ht="24" thickBot="1" x14ac:dyDescent="0.4">
      <c r="A201" s="1546" t="s">
        <v>155</v>
      </c>
      <c r="B201" s="3092" t="str">
        <f>PRODUÇÃO!B82</f>
        <v>SUINOS</v>
      </c>
      <c r="C201" s="3093"/>
      <c r="D201" s="522"/>
      <c r="E201" s="522"/>
      <c r="F201" s="522"/>
      <c r="G201" s="520"/>
      <c r="H201" s="520"/>
      <c r="I201" s="520"/>
      <c r="J201" s="520"/>
      <c r="K201" s="624" t="s">
        <v>56</v>
      </c>
      <c r="L201" s="523"/>
      <c r="M201" s="523"/>
    </row>
    <row r="202" spans="1:13" ht="15.75" x14ac:dyDescent="0.25">
      <c r="A202" s="3087" t="s">
        <v>696</v>
      </c>
      <c r="B202" s="3088"/>
      <c r="C202" s="3089"/>
      <c r="D202" s="522"/>
      <c r="E202" s="522"/>
      <c r="F202" s="522"/>
      <c r="G202" s="520"/>
      <c r="H202" s="520"/>
      <c r="I202" s="520"/>
      <c r="J202" s="520"/>
      <c r="K202" s="624" t="s">
        <v>56</v>
      </c>
      <c r="L202" s="523"/>
      <c r="M202" s="523"/>
    </row>
    <row r="203" spans="1:13" ht="15.75" x14ac:dyDescent="0.25">
      <c r="A203" s="1573" t="s">
        <v>169</v>
      </c>
      <c r="B203" s="1461" t="s">
        <v>87</v>
      </c>
      <c r="C203" s="1574" t="s">
        <v>88</v>
      </c>
      <c r="D203" s="522"/>
      <c r="E203" s="522"/>
      <c r="F203" s="522"/>
      <c r="G203" s="520"/>
      <c r="H203" s="520"/>
      <c r="I203" s="520"/>
      <c r="J203" s="520"/>
      <c r="K203" s="624" t="s">
        <v>56</v>
      </c>
      <c r="L203" s="523"/>
      <c r="M203" s="523"/>
    </row>
    <row r="204" spans="1:13" ht="15.75" x14ac:dyDescent="0.25">
      <c r="A204" s="1575" t="s">
        <v>188</v>
      </c>
      <c r="B204" s="1461">
        <f>PRODUÇÃO!R82</f>
        <v>0</v>
      </c>
      <c r="C204" s="1576"/>
      <c r="D204" s="522"/>
      <c r="E204" s="522"/>
      <c r="F204" s="522"/>
      <c r="G204" s="520"/>
      <c r="H204" s="520"/>
      <c r="I204" s="520"/>
      <c r="J204" s="520"/>
      <c r="K204" s="624" t="s">
        <v>56</v>
      </c>
      <c r="L204" s="523"/>
      <c r="M204" s="523"/>
    </row>
    <row r="205" spans="1:13" ht="15.75" x14ac:dyDescent="0.25">
      <c r="A205" s="1577" t="s">
        <v>189</v>
      </c>
      <c r="B205" s="1461">
        <f>PRODUÇÃO!S82</f>
        <v>0</v>
      </c>
      <c r="C205" s="1576"/>
      <c r="D205" s="522"/>
      <c r="E205" s="522"/>
      <c r="F205" s="522"/>
      <c r="G205" s="520"/>
      <c r="H205" s="520"/>
      <c r="I205" s="520"/>
      <c r="J205" s="520"/>
      <c r="K205" s="624" t="s">
        <v>56</v>
      </c>
      <c r="L205" s="523"/>
      <c r="M205" s="523"/>
    </row>
    <row r="206" spans="1:13" ht="15.75" x14ac:dyDescent="0.25">
      <c r="A206" s="1577" t="s">
        <v>205</v>
      </c>
      <c r="B206" s="1461">
        <f>PRODUÇÃO!R92</f>
        <v>0</v>
      </c>
      <c r="C206" s="1576"/>
      <c r="D206" s="522"/>
      <c r="E206" s="522"/>
      <c r="F206" s="522"/>
      <c r="G206" s="520"/>
      <c r="H206" s="520"/>
      <c r="I206" s="520"/>
      <c r="J206" s="520"/>
      <c r="K206" s="624" t="s">
        <v>56</v>
      </c>
      <c r="L206" s="523"/>
      <c r="M206" s="523"/>
    </row>
    <row r="207" spans="1:13" ht="15.75" x14ac:dyDescent="0.25">
      <c r="A207" s="1577" t="s">
        <v>206</v>
      </c>
      <c r="B207" s="1461">
        <f>PRODUÇÃO!S92</f>
        <v>0</v>
      </c>
      <c r="C207" s="1576"/>
      <c r="D207" s="522"/>
      <c r="E207" s="522"/>
      <c r="F207" s="522"/>
      <c r="G207" s="520"/>
      <c r="H207" s="520"/>
      <c r="I207" s="520"/>
      <c r="J207" s="520"/>
      <c r="K207" s="624" t="s">
        <v>56</v>
      </c>
      <c r="L207" s="523"/>
      <c r="M207" s="523"/>
    </row>
    <row r="208" spans="1:13" ht="15.75" x14ac:dyDescent="0.25">
      <c r="A208" s="1578" t="s">
        <v>184</v>
      </c>
      <c r="B208" s="1462">
        <f>SUMIF(B204:B207,"&gt;0",B204:B207)</f>
        <v>0</v>
      </c>
      <c r="C208" s="1576"/>
      <c r="D208" s="522"/>
      <c r="E208" s="522"/>
      <c r="F208" s="522"/>
      <c r="G208" s="520"/>
      <c r="H208" s="520"/>
      <c r="I208" s="520"/>
      <c r="J208" s="528"/>
      <c r="K208" s="624" t="s">
        <v>56</v>
      </c>
      <c r="L208" s="523"/>
      <c r="M208" s="523"/>
    </row>
    <row r="209" spans="1:13" ht="15.75" x14ac:dyDescent="0.25">
      <c r="A209" s="1579" t="s">
        <v>697</v>
      </c>
      <c r="B209" s="1461"/>
      <c r="C209" s="1576"/>
      <c r="D209" s="522"/>
      <c r="E209" s="522"/>
      <c r="F209" s="522"/>
      <c r="G209" s="520"/>
      <c r="H209" s="520"/>
      <c r="I209" s="520"/>
      <c r="J209" s="528"/>
      <c r="K209" s="624" t="s">
        <v>56</v>
      </c>
      <c r="L209" s="523"/>
      <c r="M209" s="523"/>
    </row>
    <row r="210" spans="1:13" ht="15.75" x14ac:dyDescent="0.25">
      <c r="A210" s="1580" t="s">
        <v>190</v>
      </c>
      <c r="B210" s="1461">
        <f ca="1">'resumo gastos CULTIVOS'!D75+'resumo gastos CULTIVOS'!E75+'resumo gastos CULTIVOS'!F75+'resumo gastos CULTIVOS'!H75+'resumo gastos CULTIVOS'!J75</f>
        <v>0</v>
      </c>
      <c r="C210" s="1576" t="e">
        <f ca="1">B210/$B$226</f>
        <v>#DIV/0!</v>
      </c>
      <c r="D210" s="522"/>
      <c r="E210" s="522"/>
      <c r="F210" s="522"/>
      <c r="G210" s="520"/>
      <c r="H210" s="520"/>
      <c r="I210" s="520"/>
      <c r="J210" s="528"/>
      <c r="K210" s="624" t="s">
        <v>56</v>
      </c>
      <c r="L210" s="523"/>
      <c r="M210" s="523"/>
    </row>
    <row r="211" spans="1:13" ht="15.75" x14ac:dyDescent="0.25">
      <c r="A211" s="1581" t="s">
        <v>310</v>
      </c>
      <c r="B211" s="1461">
        <f>'A. DESPESAS (Outras)'!E19</f>
        <v>0</v>
      </c>
      <c r="C211" s="1576" t="e">
        <f t="shared" ref="C211:C226" ca="1" si="7">B211/$B$226</f>
        <v>#DIV/0!</v>
      </c>
      <c r="D211" s="522"/>
      <c r="E211" s="522"/>
      <c r="F211" s="522"/>
      <c r="G211" s="520"/>
      <c r="H211" s="520"/>
      <c r="I211" s="520"/>
      <c r="J211" s="528"/>
      <c r="K211" s="624" t="s">
        <v>56</v>
      </c>
      <c r="L211" s="523"/>
      <c r="M211" s="523"/>
    </row>
    <row r="212" spans="1:13" ht="15.75" x14ac:dyDescent="0.25">
      <c r="A212" s="1581" t="s">
        <v>322</v>
      </c>
      <c r="B212" s="1461">
        <f>'A. DESPESAS (Outras)'!F28</f>
        <v>0</v>
      </c>
      <c r="C212" s="1576" t="e">
        <f t="shared" ca="1" si="7"/>
        <v>#DIV/0!</v>
      </c>
      <c r="D212" s="522"/>
      <c r="E212" s="522"/>
      <c r="F212" s="522"/>
      <c r="G212" s="520"/>
      <c r="H212" s="520"/>
      <c r="I212" s="520"/>
      <c r="J212" s="528"/>
      <c r="K212" s="624" t="s">
        <v>56</v>
      </c>
      <c r="L212" s="523"/>
      <c r="M212" s="523"/>
    </row>
    <row r="213" spans="1:13" ht="15.75" x14ac:dyDescent="0.25">
      <c r="A213" s="1582" t="s">
        <v>323</v>
      </c>
      <c r="B213" s="1461">
        <f>'OUTROS CUSTOS'!D15</f>
        <v>0</v>
      </c>
      <c r="C213" s="1576" t="e">
        <f t="shared" ca="1" si="7"/>
        <v>#DIV/0!</v>
      </c>
      <c r="D213" s="522"/>
      <c r="E213" s="522"/>
      <c r="F213" s="522"/>
      <c r="G213" s="520"/>
      <c r="H213" s="520"/>
      <c r="I213" s="520"/>
      <c r="J213" s="528"/>
      <c r="K213" s="624" t="s">
        <v>56</v>
      </c>
      <c r="L213" s="523"/>
      <c r="M213" s="523"/>
    </row>
    <row r="214" spans="1:13" ht="15.75" x14ac:dyDescent="0.25">
      <c r="A214" s="1580" t="s">
        <v>324</v>
      </c>
      <c r="B214" s="1461">
        <f>'H. proces. caseiro alimentos'!F20</f>
        <v>0</v>
      </c>
      <c r="C214" s="1576" t="e">
        <f t="shared" ca="1" si="7"/>
        <v>#DIV/0!</v>
      </c>
      <c r="D214" s="522"/>
      <c r="E214" s="522"/>
      <c r="F214" s="522"/>
      <c r="G214" s="520"/>
      <c r="H214" s="520"/>
      <c r="I214" s="520"/>
      <c r="J214" s="528"/>
      <c r="K214" s="624" t="s">
        <v>56</v>
      </c>
      <c r="L214" s="523"/>
      <c r="M214" s="523"/>
    </row>
    <row r="215" spans="1:13" ht="15.75" x14ac:dyDescent="0.25">
      <c r="A215" s="1583" t="s">
        <v>311</v>
      </c>
      <c r="B215" s="1463">
        <f>M.oBRA!D44</f>
        <v>0</v>
      </c>
      <c r="C215" s="1576" t="e">
        <f t="shared" ca="1" si="7"/>
        <v>#DIV/0!</v>
      </c>
      <c r="D215" s="522"/>
      <c r="E215" s="522"/>
      <c r="F215" s="522"/>
      <c r="G215" s="520"/>
      <c r="H215" s="520"/>
      <c r="I215" s="520"/>
      <c r="J215" s="528"/>
      <c r="K215" s="624" t="s">
        <v>56</v>
      </c>
      <c r="L215" s="523"/>
      <c r="M215" s="523"/>
    </row>
    <row r="216" spans="1:13" ht="15.75" x14ac:dyDescent="0.25">
      <c r="A216" s="1577" t="s">
        <v>325</v>
      </c>
      <c r="B216" s="1464">
        <f ca="1">'C. MÁQ.'!D49</f>
        <v>0</v>
      </c>
      <c r="C216" s="1576" t="e">
        <f t="shared" ca="1" si="7"/>
        <v>#DIV/0!</v>
      </c>
      <c r="D216" s="522"/>
      <c r="E216" s="522"/>
      <c r="F216" s="522"/>
      <c r="G216" s="520"/>
      <c r="H216" s="520"/>
      <c r="I216" s="520"/>
      <c r="J216" s="528"/>
      <c r="K216" s="624" t="s">
        <v>56</v>
      </c>
      <c r="L216" s="523"/>
      <c r="M216" s="523"/>
    </row>
    <row r="217" spans="1:13" ht="15.75" x14ac:dyDescent="0.25">
      <c r="A217" s="1577" t="s">
        <v>326</v>
      </c>
      <c r="B217" s="1464">
        <f>'D. INSTAL.'!D46</f>
        <v>0</v>
      </c>
      <c r="C217" s="1576" t="e">
        <f t="shared" ca="1" si="7"/>
        <v>#DIV/0!</v>
      </c>
      <c r="D217" s="522"/>
      <c r="E217" s="522"/>
      <c r="F217" s="522"/>
      <c r="G217" s="520"/>
      <c r="H217" s="520"/>
      <c r="I217" s="520"/>
      <c r="J217" s="528"/>
      <c r="K217" s="624" t="s">
        <v>56</v>
      </c>
      <c r="L217" s="523"/>
      <c r="M217" s="523"/>
    </row>
    <row r="218" spans="1:13" ht="15.75" x14ac:dyDescent="0.25">
      <c r="A218" s="1584"/>
      <c r="B218" s="1464"/>
      <c r="C218" s="1576" t="e">
        <f t="shared" ca="1" si="7"/>
        <v>#DIV/0!</v>
      </c>
      <c r="D218" s="522"/>
      <c r="E218" s="522"/>
      <c r="F218" s="522"/>
      <c r="G218" s="520"/>
      <c r="H218" s="520"/>
      <c r="I218" s="520"/>
      <c r="J218" s="528"/>
      <c r="K218" s="624" t="s">
        <v>56</v>
      </c>
      <c r="L218" s="523"/>
      <c r="M218" s="523"/>
    </row>
    <row r="219" spans="1:13" ht="15.75" x14ac:dyDescent="0.25">
      <c r="A219" s="1584"/>
      <c r="B219" s="1462">
        <f ca="1">SUMIF(B210:B218,"&gt;0",B210:B218)</f>
        <v>0</v>
      </c>
      <c r="C219" s="1576"/>
      <c r="D219" s="522"/>
      <c r="E219" s="522"/>
      <c r="F219" s="522"/>
      <c r="G219" s="520"/>
      <c r="H219" s="520"/>
      <c r="I219" s="520"/>
      <c r="J219" s="528"/>
      <c r="K219" s="624" t="s">
        <v>56</v>
      </c>
      <c r="L219" s="523"/>
      <c r="M219" s="523"/>
    </row>
    <row r="220" spans="1:13" ht="15.75" x14ac:dyDescent="0.25">
      <c r="A220" s="1579" t="s">
        <v>691</v>
      </c>
      <c r="B220" s="1461"/>
      <c r="C220" s="1576" t="e">
        <f t="shared" ca="1" si="7"/>
        <v>#DIV/0!</v>
      </c>
      <c r="D220" s="522"/>
      <c r="E220" s="522"/>
      <c r="F220" s="522"/>
      <c r="G220" s="520"/>
      <c r="H220" s="520"/>
      <c r="I220" s="520"/>
      <c r="J220" s="520"/>
      <c r="K220" s="624" t="s">
        <v>56</v>
      </c>
      <c r="L220" s="523"/>
      <c r="M220" s="523"/>
    </row>
    <row r="221" spans="1:13" ht="15.75" x14ac:dyDescent="0.25">
      <c r="A221" s="1577" t="s">
        <v>319</v>
      </c>
      <c r="B221" s="1465">
        <f>'resumo gastos CULTIVOS'!G75</f>
        <v>0</v>
      </c>
      <c r="C221" s="1576" t="e">
        <f t="shared" ca="1" si="7"/>
        <v>#DIV/0!</v>
      </c>
      <c r="D221" s="522"/>
      <c r="E221" s="522"/>
      <c r="F221" s="522"/>
      <c r="G221" s="520"/>
      <c r="H221" s="520"/>
      <c r="I221" s="520"/>
      <c r="J221" s="520"/>
      <c r="K221" s="624" t="s">
        <v>56</v>
      </c>
      <c r="L221" s="523"/>
      <c r="M221" s="523"/>
    </row>
    <row r="222" spans="1:13" ht="15.75" x14ac:dyDescent="0.25">
      <c r="A222" s="1577" t="s">
        <v>318</v>
      </c>
      <c r="B222" s="1465">
        <f>'resumo gastos CULTIVOS'!I75</f>
        <v>0</v>
      </c>
      <c r="C222" s="1576" t="e">
        <f t="shared" ca="1" si="7"/>
        <v>#DIV/0!</v>
      </c>
      <c r="D222" s="522"/>
      <c r="E222" s="522"/>
      <c r="F222" s="522"/>
      <c r="G222" s="520"/>
      <c r="H222" s="520"/>
      <c r="I222" s="520"/>
      <c r="J222" s="520"/>
      <c r="K222" s="624" t="s">
        <v>56</v>
      </c>
      <c r="L222" s="523"/>
      <c r="M222" s="523"/>
    </row>
    <row r="223" spans="1:13" ht="15.75" x14ac:dyDescent="0.25">
      <c r="A223" s="1585" t="s">
        <v>316</v>
      </c>
      <c r="B223" s="1462">
        <f>'C. MÁQ.'!D48+'D. INSTAL.'!D45</f>
        <v>0</v>
      </c>
      <c r="C223" s="1576" t="e">
        <f t="shared" ca="1" si="7"/>
        <v>#DIV/0!</v>
      </c>
      <c r="D223" s="522"/>
      <c r="E223" s="522"/>
      <c r="F223" s="522"/>
      <c r="G223" s="520"/>
      <c r="H223" s="520"/>
      <c r="I223" s="520"/>
      <c r="J223" s="520"/>
      <c r="K223" s="624" t="s">
        <v>56</v>
      </c>
      <c r="L223" s="523"/>
      <c r="M223" s="523"/>
    </row>
    <row r="224" spans="1:13" ht="15.75" x14ac:dyDescent="0.25">
      <c r="A224" s="1578" t="s">
        <v>184</v>
      </c>
      <c r="B224" s="1462">
        <f>SUMIF(B221:B223,"&gt;0",B221:B223)</f>
        <v>0</v>
      </c>
      <c r="C224" s="1576"/>
      <c r="D224" s="530">
        <f>B224</f>
        <v>0</v>
      </c>
      <c r="E224" s="522"/>
      <c r="F224" s="522"/>
      <c r="G224" s="520"/>
      <c r="H224" s="520"/>
      <c r="I224" s="520"/>
      <c r="J224" s="520"/>
      <c r="K224" s="624" t="s">
        <v>56</v>
      </c>
      <c r="L224" s="523"/>
      <c r="M224" s="523"/>
    </row>
    <row r="225" spans="1:13" ht="15.75" x14ac:dyDescent="0.25">
      <c r="A225" s="1586"/>
      <c r="B225" s="1466"/>
      <c r="C225" s="1576" t="e">
        <f t="shared" ca="1" si="7"/>
        <v>#DIV/0!</v>
      </c>
      <c r="D225" s="522"/>
      <c r="E225" s="522"/>
      <c r="F225" s="522"/>
      <c r="G225" s="520"/>
      <c r="H225" s="520"/>
      <c r="I225" s="520"/>
      <c r="J225" s="520"/>
      <c r="K225" s="624" t="s">
        <v>56</v>
      </c>
      <c r="L225" s="523"/>
      <c r="M225" s="523"/>
    </row>
    <row r="226" spans="1:13" ht="15.75" x14ac:dyDescent="0.25">
      <c r="A226" s="1587" t="s">
        <v>700</v>
      </c>
      <c r="B226" s="1466">
        <f ca="1">B219+B224</f>
        <v>0</v>
      </c>
      <c r="C226" s="1576" t="e">
        <f t="shared" ca="1" si="7"/>
        <v>#DIV/0!</v>
      </c>
      <c r="D226" s="522"/>
      <c r="E226" s="522"/>
      <c r="F226" s="522"/>
      <c r="G226" s="520"/>
      <c r="H226" s="520"/>
      <c r="I226" s="520"/>
      <c r="J226" s="520"/>
      <c r="K226" s="624" t="s">
        <v>56</v>
      </c>
      <c r="L226" s="523"/>
      <c r="M226" s="523"/>
    </row>
    <row r="227" spans="1:13" ht="15.75" x14ac:dyDescent="0.25">
      <c r="A227" s="1579" t="s">
        <v>270</v>
      </c>
      <c r="B227" s="1467"/>
      <c r="C227" s="1588"/>
      <c r="D227" s="522"/>
      <c r="E227" s="522"/>
      <c r="F227" s="522"/>
      <c r="G227" s="520"/>
      <c r="H227" s="520"/>
      <c r="I227" s="520"/>
      <c r="J227" s="520"/>
      <c r="K227" s="624" t="s">
        <v>56</v>
      </c>
      <c r="L227" s="523"/>
      <c r="M227" s="523"/>
    </row>
    <row r="228" spans="1:13" ht="15.75" x14ac:dyDescent="0.25">
      <c r="A228" s="1589" t="s">
        <v>698</v>
      </c>
      <c r="B228" s="1465">
        <f ca="1">B208-B219</f>
        <v>0</v>
      </c>
      <c r="C228" s="1588"/>
      <c r="D228" s="522"/>
      <c r="E228" s="522"/>
      <c r="F228" s="522"/>
      <c r="G228" s="520"/>
      <c r="H228" s="520"/>
      <c r="I228" s="520"/>
      <c r="J228" s="520"/>
      <c r="K228" s="624" t="s">
        <v>56</v>
      </c>
      <c r="L228" s="523"/>
      <c r="M228" s="523"/>
    </row>
    <row r="229" spans="1:13" ht="16.5" thickBot="1" x14ac:dyDescent="0.3">
      <c r="A229" s="1590" t="s">
        <v>699</v>
      </c>
      <c r="B229" s="1591">
        <f ca="1">B228-B224</f>
        <v>0</v>
      </c>
      <c r="C229" s="1592"/>
      <c r="D229" s="522"/>
      <c r="E229" s="522"/>
      <c r="F229" s="522"/>
      <c r="G229" s="520"/>
      <c r="H229" s="520"/>
      <c r="I229" s="520"/>
      <c r="J229" s="520"/>
      <c r="K229" s="624" t="s">
        <v>56</v>
      </c>
      <c r="L229" s="523"/>
      <c r="M229" s="523"/>
    </row>
    <row r="230" spans="1:13" ht="15.75" x14ac:dyDescent="0.25">
      <c r="A230" s="1469"/>
      <c r="B230" s="1470"/>
      <c r="C230" s="1469"/>
      <c r="D230" s="522"/>
      <c r="E230" s="522"/>
      <c r="F230" s="522"/>
      <c r="G230" s="520"/>
      <c r="H230" s="520"/>
      <c r="I230" s="520"/>
      <c r="J230" s="528"/>
      <c r="K230" s="624" t="s">
        <v>56</v>
      </c>
      <c r="L230" s="523"/>
      <c r="M230" s="523"/>
    </row>
    <row r="231" spans="1:13" ht="16.5" thickBot="1" x14ac:dyDescent="0.3">
      <c r="A231" s="1436"/>
      <c r="B231" s="1437"/>
      <c r="C231" s="1436"/>
      <c r="D231" s="522"/>
      <c r="E231" s="522"/>
      <c r="F231" s="522"/>
      <c r="G231" s="520"/>
      <c r="H231" s="520"/>
      <c r="I231" s="520"/>
      <c r="J231" s="520"/>
      <c r="K231" s="624" t="s">
        <v>56</v>
      </c>
      <c r="L231" s="523"/>
      <c r="M231" s="523"/>
    </row>
    <row r="232" spans="1:13" ht="24" thickBot="1" x14ac:dyDescent="0.4">
      <c r="A232" s="1547" t="s">
        <v>155</v>
      </c>
      <c r="B232" s="3090" t="str">
        <f>PRODUÇÃO!B83</f>
        <v xml:space="preserve">                 AVES</v>
      </c>
      <c r="C232" s="3091"/>
      <c r="D232" s="522"/>
      <c r="E232" s="522"/>
      <c r="F232" s="522"/>
      <c r="G232" s="520"/>
      <c r="H232" s="520"/>
      <c r="I232" s="520"/>
      <c r="J232" s="520"/>
      <c r="K232" s="624" t="s">
        <v>56</v>
      </c>
      <c r="L232" s="523"/>
      <c r="M232" s="523"/>
    </row>
    <row r="233" spans="1:13" ht="15.75" x14ac:dyDescent="0.25">
      <c r="A233" s="3071" t="s">
        <v>696</v>
      </c>
      <c r="B233" s="3072"/>
      <c r="C233" s="3073"/>
      <c r="D233" s="522"/>
      <c r="E233" s="522"/>
      <c r="F233" s="522"/>
      <c r="G233" s="520"/>
      <c r="H233" s="520"/>
      <c r="I233" s="520"/>
      <c r="J233" s="520"/>
      <c r="K233" s="624" t="s">
        <v>56</v>
      </c>
      <c r="L233" s="523"/>
      <c r="M233" s="523"/>
    </row>
    <row r="234" spans="1:13" ht="15.75" x14ac:dyDescent="0.25">
      <c r="A234" s="1593" t="s">
        <v>169</v>
      </c>
      <c r="B234" s="1451" t="s">
        <v>87</v>
      </c>
      <c r="C234" s="1594" t="s">
        <v>88</v>
      </c>
      <c r="D234" s="522"/>
      <c r="E234" s="522"/>
      <c r="F234" s="522"/>
      <c r="G234" s="520"/>
      <c r="H234" s="520"/>
      <c r="I234" s="520"/>
      <c r="J234" s="520"/>
      <c r="K234" s="624" t="s">
        <v>56</v>
      </c>
      <c r="L234" s="523"/>
      <c r="M234" s="523"/>
    </row>
    <row r="235" spans="1:13" ht="15.75" x14ac:dyDescent="0.25">
      <c r="A235" s="1595" t="s">
        <v>192</v>
      </c>
      <c r="B235" s="1451">
        <f>PRODUÇÃO!R83+PRODUÇÃO!R84</f>
        <v>0</v>
      </c>
      <c r="C235" s="1596"/>
      <c r="D235" s="522"/>
      <c r="E235" s="522"/>
      <c r="F235" s="522"/>
      <c r="G235" s="520"/>
      <c r="H235" s="520"/>
      <c r="I235" s="520"/>
      <c r="J235" s="520"/>
      <c r="K235" s="624" t="s">
        <v>56</v>
      </c>
      <c r="L235" s="523"/>
      <c r="M235" s="523"/>
    </row>
    <row r="236" spans="1:13" ht="15.75" x14ac:dyDescent="0.25">
      <c r="A236" s="1597" t="s">
        <v>189</v>
      </c>
      <c r="B236" s="1451">
        <f>PRODUÇÃO!S83+PRODUÇÃO!S84</f>
        <v>0</v>
      </c>
      <c r="C236" s="1596"/>
      <c r="D236" s="522"/>
      <c r="E236" s="522"/>
      <c r="F236" s="522"/>
      <c r="G236" s="520"/>
      <c r="H236" s="520"/>
      <c r="I236" s="520"/>
      <c r="J236" s="520"/>
      <c r="K236" s="624" t="s">
        <v>56</v>
      </c>
      <c r="L236" s="523"/>
      <c r="M236" s="523"/>
    </row>
    <row r="237" spans="1:13" ht="15.75" x14ac:dyDescent="0.25">
      <c r="A237" s="1598" t="s">
        <v>184</v>
      </c>
      <c r="B237" s="1452">
        <f>SUMIF(B235:B236,"&gt;0",B235:B236)</f>
        <v>0</v>
      </c>
      <c r="C237" s="1596"/>
      <c r="D237" s="522"/>
      <c r="E237" s="522"/>
      <c r="F237" s="522"/>
      <c r="G237" s="520"/>
      <c r="H237" s="520"/>
      <c r="I237" s="520"/>
      <c r="J237" s="520"/>
      <c r="K237" s="624" t="s">
        <v>56</v>
      </c>
      <c r="L237" s="523"/>
      <c r="M237" s="523"/>
    </row>
    <row r="238" spans="1:13" ht="15.75" x14ac:dyDescent="0.25">
      <c r="A238" s="1599" t="s">
        <v>697</v>
      </c>
      <c r="B238" s="1451"/>
      <c r="C238" s="1596"/>
      <c r="D238" s="522"/>
      <c r="E238" s="522"/>
      <c r="F238" s="522"/>
      <c r="G238" s="520"/>
      <c r="H238" s="520"/>
      <c r="I238" s="520"/>
      <c r="J238" s="520"/>
      <c r="K238" s="624" t="s">
        <v>56</v>
      </c>
      <c r="L238" s="523"/>
      <c r="M238" s="523"/>
    </row>
    <row r="239" spans="1:13" ht="15.75" x14ac:dyDescent="0.25">
      <c r="A239" s="1600" t="s">
        <v>190</v>
      </c>
      <c r="B239" s="1451">
        <f ca="1">'resumo gastos CULTIVOS'!D84+'resumo gastos CULTIVOS'!E84+'resumo gastos CULTIVOS'!F84+'resumo gastos CULTIVOS'!H84+'resumo gastos CULTIVOS'!J84</f>
        <v>0</v>
      </c>
      <c r="C239" s="1596" t="e">
        <f ca="1">B239/$B$258</f>
        <v>#DIV/0!</v>
      </c>
      <c r="D239" s="522"/>
      <c r="E239" s="522"/>
      <c r="F239" s="522"/>
      <c r="G239" s="520"/>
      <c r="H239" s="520"/>
      <c r="I239" s="520"/>
      <c r="J239" s="520"/>
      <c r="K239" s="624" t="s">
        <v>56</v>
      </c>
      <c r="L239" s="523"/>
      <c r="M239" s="523"/>
    </row>
    <row r="240" spans="1:13" ht="15.75" x14ac:dyDescent="0.25">
      <c r="A240" s="1601" t="s">
        <v>310</v>
      </c>
      <c r="B240" s="1451">
        <f>'A. DESPESAS (Outras)'!E48</f>
        <v>0</v>
      </c>
      <c r="C240" s="1596" t="e">
        <f t="shared" ref="C240:C258" ca="1" si="8">B240/$B$258</f>
        <v>#DIV/0!</v>
      </c>
      <c r="D240" s="522"/>
      <c r="E240" s="522"/>
      <c r="F240" s="522"/>
      <c r="G240" s="520"/>
      <c r="H240" s="520"/>
      <c r="I240" s="520"/>
      <c r="J240" s="520"/>
      <c r="K240" s="624" t="s">
        <v>56</v>
      </c>
      <c r="L240" s="523"/>
      <c r="M240" s="523"/>
    </row>
    <row r="241" spans="1:13" ht="15.75" x14ac:dyDescent="0.25">
      <c r="A241" s="1601" t="s">
        <v>322</v>
      </c>
      <c r="B241" s="1451">
        <f>'A. DESPESAS (Outras)'!F57</f>
        <v>0</v>
      </c>
      <c r="C241" s="1596" t="e">
        <f t="shared" ca="1" si="8"/>
        <v>#DIV/0!</v>
      </c>
      <c r="D241" s="522"/>
      <c r="E241" s="522"/>
      <c r="F241" s="522"/>
      <c r="G241" s="520"/>
      <c r="H241" s="520"/>
      <c r="I241" s="520"/>
      <c r="J241" s="520"/>
      <c r="K241" s="624" t="s">
        <v>56</v>
      </c>
      <c r="L241" s="523"/>
      <c r="M241" s="523"/>
    </row>
    <row r="242" spans="1:13" ht="15.75" x14ac:dyDescent="0.25">
      <c r="A242" s="1602" t="s">
        <v>323</v>
      </c>
      <c r="B242" s="1453">
        <f>'OUTROS CUSTOS'!E15</f>
        <v>0</v>
      </c>
      <c r="C242" s="1596" t="e">
        <f t="shared" ca="1" si="8"/>
        <v>#DIV/0!</v>
      </c>
      <c r="D242" s="522"/>
      <c r="E242" s="522"/>
      <c r="F242" s="522"/>
      <c r="G242" s="520"/>
      <c r="H242" s="520"/>
      <c r="I242" s="520"/>
      <c r="J242" s="520"/>
      <c r="K242" s="624" t="s">
        <v>56</v>
      </c>
      <c r="L242" s="523"/>
      <c r="M242" s="523"/>
    </row>
    <row r="243" spans="1:13" ht="15.75" x14ac:dyDescent="0.25">
      <c r="A243" s="1600"/>
      <c r="B243" s="1453"/>
      <c r="C243" s="1596" t="e">
        <f t="shared" ca="1" si="8"/>
        <v>#DIV/0!</v>
      </c>
      <c r="D243" s="522"/>
      <c r="E243" s="522"/>
      <c r="F243" s="522"/>
      <c r="G243" s="520"/>
      <c r="H243" s="520"/>
      <c r="I243" s="520"/>
      <c r="J243" s="520"/>
      <c r="K243" s="624" t="s">
        <v>56</v>
      </c>
      <c r="L243" s="523"/>
      <c r="M243" s="523"/>
    </row>
    <row r="244" spans="1:13" ht="15.75" x14ac:dyDescent="0.25">
      <c r="A244" s="1603" t="s">
        <v>313</v>
      </c>
      <c r="B244" s="1453">
        <f>M.oBRA!E44</f>
        <v>0</v>
      </c>
      <c r="C244" s="1596" t="e">
        <f t="shared" ca="1" si="8"/>
        <v>#DIV/0!</v>
      </c>
      <c r="D244" s="522"/>
      <c r="E244" s="522"/>
      <c r="F244" s="522"/>
      <c r="G244" s="520"/>
      <c r="H244" s="520"/>
      <c r="I244" s="520"/>
      <c r="J244" s="520"/>
      <c r="K244" s="624" t="s">
        <v>56</v>
      </c>
      <c r="L244" s="523"/>
      <c r="M244" s="523"/>
    </row>
    <row r="245" spans="1:13" ht="15.75" x14ac:dyDescent="0.25">
      <c r="A245" s="1597" t="s">
        <v>325</v>
      </c>
      <c r="B245" s="1453">
        <f ca="1">'C. MÁQ.'!E49</f>
        <v>0</v>
      </c>
      <c r="C245" s="1596" t="e">
        <f t="shared" ca="1" si="8"/>
        <v>#DIV/0!</v>
      </c>
      <c r="D245" s="522"/>
      <c r="E245" s="522"/>
      <c r="F245" s="522"/>
      <c r="G245" s="520"/>
      <c r="H245" s="520"/>
      <c r="I245" s="520"/>
      <c r="J245" s="520"/>
      <c r="K245" s="624" t="s">
        <v>56</v>
      </c>
      <c r="L245" s="523"/>
      <c r="M245" s="523"/>
    </row>
    <row r="246" spans="1:13" ht="15.75" x14ac:dyDescent="0.25">
      <c r="A246" s="1597" t="s">
        <v>326</v>
      </c>
      <c r="B246" s="1453">
        <f>'D. INSTAL.'!E46</f>
        <v>0</v>
      </c>
      <c r="C246" s="1596" t="e">
        <f t="shared" ca="1" si="8"/>
        <v>#DIV/0!</v>
      </c>
      <c r="D246" s="522"/>
      <c r="E246" s="522"/>
      <c r="F246" s="522"/>
      <c r="G246" s="520"/>
      <c r="H246" s="520"/>
      <c r="I246" s="520"/>
      <c r="J246" s="520"/>
      <c r="K246" s="624" t="s">
        <v>56</v>
      </c>
      <c r="L246" s="523"/>
      <c r="M246" s="523"/>
    </row>
    <row r="247" spans="1:13" ht="15.75" x14ac:dyDescent="0.25">
      <c r="A247" s="1597"/>
      <c r="B247" s="1452">
        <f ca="1">SUMIF(B239:B246,"&gt;0",B239:B246)</f>
        <v>0</v>
      </c>
      <c r="C247" s="1596"/>
      <c r="D247" s="522"/>
      <c r="E247" s="522"/>
      <c r="F247" s="522"/>
      <c r="G247" s="520"/>
      <c r="H247" s="520"/>
      <c r="I247" s="520"/>
      <c r="J247" s="520"/>
      <c r="K247" s="624" t="s">
        <v>56</v>
      </c>
      <c r="L247" s="523"/>
      <c r="M247" s="523"/>
    </row>
    <row r="248" spans="1:13" ht="15.75" x14ac:dyDescent="0.25">
      <c r="A248" s="1599" t="s">
        <v>691</v>
      </c>
      <c r="B248" s="1451"/>
      <c r="C248" s="1596" t="e">
        <f t="shared" ca="1" si="8"/>
        <v>#DIV/0!</v>
      </c>
      <c r="D248" s="530"/>
      <c r="E248" s="522"/>
      <c r="F248" s="522"/>
      <c r="G248" s="520"/>
      <c r="H248" s="520"/>
      <c r="I248" s="520"/>
      <c r="J248" s="520"/>
      <c r="K248" s="624" t="s">
        <v>56</v>
      </c>
      <c r="L248" s="523"/>
      <c r="M248" s="523"/>
    </row>
    <row r="249" spans="1:13" ht="15.75" x14ac:dyDescent="0.25">
      <c r="A249" s="1597" t="s">
        <v>191</v>
      </c>
      <c r="B249" s="1454">
        <f>'resumo gastos CULTIVOS'!G84</f>
        <v>0</v>
      </c>
      <c r="C249" s="1596" t="e">
        <f t="shared" ca="1" si="8"/>
        <v>#DIV/0!</v>
      </c>
      <c r="D249" s="530"/>
      <c r="E249" s="522"/>
      <c r="F249" s="522"/>
      <c r="G249" s="520"/>
      <c r="H249" s="520"/>
      <c r="I249" s="520"/>
      <c r="J249" s="520"/>
      <c r="K249" s="624" t="s">
        <v>56</v>
      </c>
      <c r="L249" s="523"/>
      <c r="M249" s="523"/>
    </row>
    <row r="250" spans="1:13" ht="15.75" x14ac:dyDescent="0.25">
      <c r="A250" s="1597" t="s">
        <v>315</v>
      </c>
      <c r="B250" s="1454">
        <f>'resumo gastos CULTIVOS'!I84</f>
        <v>0</v>
      </c>
      <c r="C250" s="1596" t="e">
        <f t="shared" ca="1" si="8"/>
        <v>#DIV/0!</v>
      </c>
      <c r="D250" s="531"/>
      <c r="E250" s="522"/>
      <c r="F250" s="522"/>
      <c r="G250" s="520"/>
      <c r="H250" s="520"/>
      <c r="I250" s="520"/>
      <c r="J250" s="521"/>
      <c r="K250" s="624" t="s">
        <v>56</v>
      </c>
      <c r="L250" s="523"/>
      <c r="M250" s="523"/>
    </row>
    <row r="251" spans="1:13" ht="15.75" x14ac:dyDescent="0.25">
      <c r="A251" s="1604" t="s">
        <v>316</v>
      </c>
      <c r="B251" s="1452">
        <f>'C. MÁQ.'!E48+'D. INSTAL.'!E45</f>
        <v>0</v>
      </c>
      <c r="C251" s="1596" t="e">
        <f t="shared" ca="1" si="8"/>
        <v>#DIV/0!</v>
      </c>
      <c r="D251" s="522"/>
      <c r="E251" s="522"/>
      <c r="F251" s="522"/>
      <c r="G251" s="520"/>
      <c r="H251" s="520"/>
      <c r="I251" s="520"/>
      <c r="J251" s="520"/>
      <c r="K251" s="624" t="s">
        <v>56</v>
      </c>
      <c r="L251" s="523"/>
      <c r="M251" s="523"/>
    </row>
    <row r="252" spans="1:13" ht="15.75" x14ac:dyDescent="0.25">
      <c r="A252" s="1598" t="s">
        <v>184</v>
      </c>
      <c r="B252" s="1452">
        <f>SUMIF(B249:B251,"&gt;0",B249:B251)</f>
        <v>0</v>
      </c>
      <c r="C252" s="1596"/>
      <c r="D252" s="530">
        <f>B252</f>
        <v>0</v>
      </c>
      <c r="E252" s="522"/>
      <c r="F252" s="522"/>
      <c r="G252" s="520"/>
      <c r="H252" s="520"/>
      <c r="I252" s="520"/>
      <c r="J252" s="520"/>
      <c r="K252" s="624" t="s">
        <v>56</v>
      </c>
      <c r="L252" s="523"/>
      <c r="M252" s="523"/>
    </row>
    <row r="253" spans="1:13" ht="15.75" hidden="1" x14ac:dyDescent="0.25">
      <c r="A253" s="1599" t="s">
        <v>170</v>
      </c>
      <c r="B253" s="1456"/>
      <c r="C253" s="1596" t="e">
        <f t="shared" ca="1" si="8"/>
        <v>#DIV/0!</v>
      </c>
      <c r="D253" s="522"/>
      <c r="E253" s="522"/>
      <c r="F253" s="522"/>
      <c r="G253" s="520"/>
      <c r="H253" s="520"/>
      <c r="I253" s="520"/>
      <c r="J253" s="520"/>
      <c r="K253" s="624" t="s">
        <v>56</v>
      </c>
      <c r="L253" s="523"/>
      <c r="M253" s="523"/>
    </row>
    <row r="254" spans="1:13" ht="15.75" hidden="1" x14ac:dyDescent="0.25">
      <c r="A254" s="1599" t="s">
        <v>185</v>
      </c>
      <c r="B254" s="1456">
        <f>'resumo gastos CULTIVOS'!E84+M.oBRA!E50</f>
        <v>0</v>
      </c>
      <c r="C254" s="1596" t="e">
        <f t="shared" ca="1" si="8"/>
        <v>#DIV/0!</v>
      </c>
      <c r="D254" s="522"/>
      <c r="E254" s="522"/>
      <c r="F254" s="522"/>
      <c r="G254" s="520"/>
      <c r="H254" s="520"/>
      <c r="I254" s="520"/>
      <c r="J254" s="520"/>
      <c r="K254" s="624" t="s">
        <v>56</v>
      </c>
      <c r="L254" s="523"/>
      <c r="M254" s="523"/>
    </row>
    <row r="255" spans="1:13" ht="15.75" hidden="1" x14ac:dyDescent="0.25">
      <c r="A255" s="1599" t="s">
        <v>186</v>
      </c>
      <c r="B255" s="1456">
        <f>'OUTROS CUSTOS'!E18+'resumo gastos CULTIVOS'!F84</f>
        <v>0</v>
      </c>
      <c r="C255" s="1596" t="e">
        <f t="shared" ca="1" si="8"/>
        <v>#DIV/0!</v>
      </c>
      <c r="D255" s="522"/>
      <c r="E255" s="522"/>
      <c r="F255" s="522"/>
      <c r="G255" s="520"/>
      <c r="H255" s="520"/>
      <c r="I255" s="520"/>
      <c r="J255" s="520"/>
      <c r="K255" s="624" t="s">
        <v>56</v>
      </c>
      <c r="L255" s="523"/>
      <c r="M255" s="523"/>
    </row>
    <row r="256" spans="1:13" ht="15.75" hidden="1" x14ac:dyDescent="0.25">
      <c r="A256" s="1605" t="s">
        <v>60</v>
      </c>
      <c r="B256" s="1455">
        <f>SUMIF(B254:B255,"&gt;0",B254:B255)</f>
        <v>0</v>
      </c>
      <c r="C256" s="1596" t="e">
        <f t="shared" ca="1" si="8"/>
        <v>#DIV/0!</v>
      </c>
      <c r="D256" s="522"/>
      <c r="E256" s="522"/>
      <c r="F256" s="522"/>
      <c r="G256" s="520"/>
      <c r="H256" s="520"/>
      <c r="I256" s="520"/>
      <c r="J256" s="520"/>
      <c r="K256" s="624" t="s">
        <v>56</v>
      </c>
      <c r="L256" s="523"/>
      <c r="M256" s="523"/>
    </row>
    <row r="257" spans="1:13" ht="15.75" x14ac:dyDescent="0.25">
      <c r="A257" s="1605"/>
      <c r="B257" s="1455"/>
      <c r="C257" s="1596" t="e">
        <f t="shared" ca="1" si="8"/>
        <v>#DIV/0!</v>
      </c>
      <c r="D257" s="522"/>
      <c r="E257" s="522"/>
      <c r="F257" s="522"/>
      <c r="G257" s="520"/>
      <c r="H257" s="520"/>
      <c r="I257" s="520"/>
      <c r="J257" s="520"/>
      <c r="K257" s="624" t="s">
        <v>56</v>
      </c>
      <c r="L257" s="523"/>
      <c r="M257" s="523"/>
    </row>
    <row r="258" spans="1:13" ht="15.75" x14ac:dyDescent="0.25">
      <c r="A258" s="1606" t="s">
        <v>700</v>
      </c>
      <c r="B258" s="1455">
        <f ca="1">B247+B252</f>
        <v>0</v>
      </c>
      <c r="C258" s="1596" t="e">
        <f t="shared" ca="1" si="8"/>
        <v>#DIV/0!</v>
      </c>
      <c r="D258" s="522"/>
      <c r="E258" s="522"/>
      <c r="F258" s="522"/>
      <c r="G258" s="520"/>
      <c r="H258" s="520"/>
      <c r="I258" s="520"/>
      <c r="J258" s="520"/>
      <c r="K258" s="624" t="s">
        <v>56</v>
      </c>
      <c r="L258" s="523"/>
      <c r="M258" s="523"/>
    </row>
    <row r="259" spans="1:13" ht="15.75" x14ac:dyDescent="0.25">
      <c r="A259" s="1599" t="s">
        <v>270</v>
      </c>
      <c r="B259" s="1456"/>
      <c r="C259" s="1607"/>
      <c r="D259" s="522"/>
      <c r="E259" s="522"/>
      <c r="F259" s="522"/>
      <c r="G259" s="520"/>
      <c r="H259" s="520"/>
      <c r="I259" s="520"/>
      <c r="J259" s="520"/>
      <c r="K259" s="624" t="s">
        <v>56</v>
      </c>
      <c r="L259" s="523"/>
      <c r="M259" s="523"/>
    </row>
    <row r="260" spans="1:13" ht="15.75" x14ac:dyDescent="0.25">
      <c r="A260" s="1608" t="s">
        <v>698</v>
      </c>
      <c r="B260" s="1454">
        <f ca="1">B237-B247</f>
        <v>0</v>
      </c>
      <c r="C260" s="1607"/>
      <c r="D260" s="522"/>
      <c r="E260" s="522"/>
      <c r="F260" s="522"/>
      <c r="G260" s="520"/>
      <c r="H260" s="520"/>
      <c r="I260" s="520"/>
      <c r="J260" s="520"/>
      <c r="K260" s="624" t="s">
        <v>56</v>
      </c>
      <c r="L260" s="523"/>
      <c r="M260" s="523"/>
    </row>
    <row r="261" spans="1:13" ht="15.75" x14ac:dyDescent="0.25">
      <c r="A261" s="1608" t="s">
        <v>699</v>
      </c>
      <c r="B261" s="1456">
        <f ca="1">B260-B252</f>
        <v>0</v>
      </c>
      <c r="C261" s="1607"/>
      <c r="D261" s="522"/>
      <c r="E261" s="522"/>
      <c r="F261" s="522"/>
      <c r="G261" s="520"/>
      <c r="H261" s="520"/>
      <c r="I261" s="520"/>
      <c r="J261" s="520"/>
      <c r="K261" s="624" t="s">
        <v>56</v>
      </c>
      <c r="L261" s="523"/>
      <c r="M261" s="523"/>
    </row>
    <row r="262" spans="1:13" ht="16.5" thickBot="1" x14ac:dyDescent="0.3">
      <c r="A262" s="1609"/>
      <c r="B262" s="1610"/>
      <c r="C262" s="1611"/>
      <c r="D262" s="522"/>
      <c r="E262" s="522"/>
      <c r="F262" s="522"/>
      <c r="G262" s="520"/>
      <c r="H262" s="520"/>
      <c r="I262" s="520"/>
      <c r="J262" s="520"/>
      <c r="K262" s="624" t="s">
        <v>56</v>
      </c>
      <c r="L262" s="523"/>
      <c r="M262" s="523"/>
    </row>
    <row r="263" spans="1:13" ht="15.75" x14ac:dyDescent="0.25">
      <c r="A263" s="1469"/>
      <c r="B263" s="1470"/>
      <c r="C263" s="1469"/>
      <c r="D263" s="522"/>
      <c r="E263" s="522"/>
      <c r="F263" s="522"/>
      <c r="G263" s="520"/>
      <c r="H263" s="520"/>
      <c r="I263" s="520"/>
      <c r="J263" s="520"/>
      <c r="K263" s="624" t="s">
        <v>56</v>
      </c>
      <c r="L263" s="523"/>
      <c r="M263" s="523"/>
    </row>
    <row r="264" spans="1:13" ht="23.25" x14ac:dyDescent="0.35">
      <c r="A264" s="1612" t="s">
        <v>155</v>
      </c>
      <c r="B264" s="1613" t="str">
        <f>PRODUÇÃO!B85</f>
        <v xml:space="preserve">OUTROS ANIMAIS </v>
      </c>
      <c r="C264" s="1419"/>
      <c r="D264" s="522"/>
      <c r="E264" s="522"/>
      <c r="F264" s="522"/>
      <c r="G264" s="520"/>
      <c r="H264" s="520"/>
      <c r="I264" s="520"/>
      <c r="J264" s="520"/>
      <c r="K264" s="624" t="s">
        <v>56</v>
      </c>
      <c r="L264" s="523"/>
      <c r="M264" s="523"/>
    </row>
    <row r="265" spans="1:13" ht="15.75" x14ac:dyDescent="0.25">
      <c r="A265" s="3056" t="s">
        <v>696</v>
      </c>
      <c r="B265" s="3056"/>
      <c r="C265" s="3074"/>
      <c r="D265" s="522"/>
      <c r="E265" s="522"/>
      <c r="F265" s="522"/>
      <c r="G265" s="520"/>
      <c r="H265" s="520"/>
      <c r="I265" s="520"/>
      <c r="J265" s="520"/>
      <c r="K265" s="624" t="s">
        <v>56</v>
      </c>
      <c r="L265" s="523"/>
      <c r="M265" s="523"/>
    </row>
    <row r="266" spans="1:13" ht="15.75" x14ac:dyDescent="0.25">
      <c r="A266" s="1413" t="s">
        <v>169</v>
      </c>
      <c r="B266" s="1414" t="s">
        <v>87</v>
      </c>
      <c r="C266" s="1413" t="s">
        <v>88</v>
      </c>
      <c r="D266" s="522"/>
      <c r="E266" s="522"/>
      <c r="F266" s="522"/>
      <c r="G266" s="520"/>
      <c r="H266" s="520"/>
      <c r="I266" s="520"/>
      <c r="J266" s="520"/>
      <c r="K266" s="624" t="s">
        <v>56</v>
      </c>
      <c r="L266" s="523"/>
      <c r="M266" s="523"/>
    </row>
    <row r="267" spans="1:13" ht="15.75" x14ac:dyDescent="0.25">
      <c r="A267" s="1419" t="s">
        <v>193</v>
      </c>
      <c r="B267" s="1414">
        <f>PRODUÇÃO!R85</f>
        <v>0</v>
      </c>
      <c r="C267" s="1422"/>
      <c r="D267" s="522"/>
      <c r="E267" s="522"/>
      <c r="F267" s="522"/>
      <c r="G267" s="520"/>
      <c r="H267" s="520"/>
      <c r="I267" s="520"/>
      <c r="J267" s="520"/>
      <c r="K267" s="624" t="s">
        <v>56</v>
      </c>
      <c r="L267" s="523"/>
      <c r="M267" s="523"/>
    </row>
    <row r="268" spans="1:13" ht="15.75" x14ac:dyDescent="0.25">
      <c r="A268" s="1415" t="s">
        <v>189</v>
      </c>
      <c r="B268" s="1414">
        <f>PRODUÇÃO!S85</f>
        <v>0</v>
      </c>
      <c r="C268" s="1422"/>
      <c r="D268" s="522"/>
      <c r="E268" s="522"/>
      <c r="F268" s="522"/>
      <c r="G268" s="520"/>
      <c r="H268" s="520"/>
      <c r="I268" s="520"/>
      <c r="J268" s="520"/>
      <c r="K268" s="624" t="s">
        <v>56</v>
      </c>
      <c r="L268" s="523"/>
      <c r="M268" s="523"/>
    </row>
    <row r="269" spans="1:13" ht="15.75" x14ac:dyDescent="0.25">
      <c r="A269" s="1614" t="s">
        <v>184</v>
      </c>
      <c r="B269" s="1615">
        <f>SUMIF(B267:B268,"&gt;0",B267:B268)</f>
        <v>0</v>
      </c>
      <c r="C269" s="1422"/>
      <c r="D269" s="522"/>
      <c r="E269" s="522"/>
      <c r="F269" s="522"/>
      <c r="G269" s="520"/>
      <c r="H269" s="520"/>
      <c r="I269" s="520"/>
      <c r="J269" s="520"/>
      <c r="K269" s="624" t="s">
        <v>56</v>
      </c>
      <c r="L269" s="523"/>
      <c r="M269" s="523"/>
    </row>
    <row r="270" spans="1:13" ht="15.75" x14ac:dyDescent="0.25">
      <c r="A270" s="1418" t="s">
        <v>697</v>
      </c>
      <c r="B270" s="1414"/>
      <c r="C270" s="1422"/>
      <c r="D270" s="522"/>
      <c r="E270" s="522"/>
      <c r="F270" s="522"/>
      <c r="G270" s="520"/>
      <c r="H270" s="520"/>
      <c r="I270" s="520"/>
      <c r="J270" s="520"/>
      <c r="K270" s="624" t="s">
        <v>56</v>
      </c>
      <c r="L270" s="523"/>
      <c r="M270" s="523"/>
    </row>
    <row r="271" spans="1:13" ht="15.75" x14ac:dyDescent="0.25">
      <c r="A271" s="1616" t="s">
        <v>190</v>
      </c>
      <c r="B271" s="1414">
        <f ca="1">'resumo gastos CULTIVOS'!D92+'resumo gastos CULTIVOS'!E92+'resumo gastos CULTIVOS'!F92+'resumo gastos CULTIVOS'!H92+'resumo gastos CULTIVOS'!J92</f>
        <v>0</v>
      </c>
      <c r="C271" s="1422" t="e">
        <f ca="1">B271/$B$288</f>
        <v>#DIV/0!</v>
      </c>
      <c r="D271" s="522"/>
      <c r="E271" s="522"/>
      <c r="F271" s="522"/>
      <c r="G271" s="520"/>
      <c r="H271" s="520"/>
      <c r="I271" s="520"/>
      <c r="J271" s="520"/>
      <c r="K271" s="624" t="s">
        <v>56</v>
      </c>
      <c r="L271" s="523"/>
      <c r="M271" s="523"/>
    </row>
    <row r="272" spans="1:13" ht="15.75" x14ac:dyDescent="0.25">
      <c r="A272" s="1617" t="s">
        <v>310</v>
      </c>
      <c r="B272" s="1414">
        <f>'A. DESPESAS (Outras)'!E75</f>
        <v>0</v>
      </c>
      <c r="C272" s="1422" t="e">
        <f t="shared" ref="C272:C288" ca="1" si="9">B272/$B$288</f>
        <v>#DIV/0!</v>
      </c>
      <c r="D272" s="522"/>
      <c r="E272" s="522"/>
      <c r="F272" s="522"/>
      <c r="G272" s="520"/>
      <c r="H272" s="520"/>
      <c r="I272" s="520"/>
      <c r="J272" s="520"/>
      <c r="K272" s="624" t="s">
        <v>56</v>
      </c>
      <c r="L272" s="523"/>
      <c r="M272" s="523"/>
    </row>
    <row r="273" spans="1:13" ht="15.75" x14ac:dyDescent="0.25">
      <c r="A273" s="1617" t="s">
        <v>312</v>
      </c>
      <c r="B273" s="1414">
        <f>'A. DESPESAS (Outras)'!F84</f>
        <v>0</v>
      </c>
      <c r="C273" s="1422" t="e">
        <f t="shared" ca="1" si="9"/>
        <v>#DIV/0!</v>
      </c>
      <c r="D273" s="522"/>
      <c r="E273" s="522"/>
      <c r="F273" s="522"/>
      <c r="G273" s="520"/>
      <c r="H273" s="520"/>
      <c r="I273" s="520"/>
      <c r="J273" s="520"/>
      <c r="K273" s="624" t="s">
        <v>56</v>
      </c>
      <c r="L273" s="523"/>
      <c r="M273" s="523"/>
    </row>
    <row r="274" spans="1:13" ht="15.75" x14ac:dyDescent="0.25">
      <c r="A274" s="1424" t="s">
        <v>302</v>
      </c>
      <c r="B274" s="1618">
        <f>'OUTROS CUSTOS'!F15</f>
        <v>0</v>
      </c>
      <c r="C274" s="1422" t="e">
        <f t="shared" ca="1" si="9"/>
        <v>#DIV/0!</v>
      </c>
      <c r="D274" s="522"/>
      <c r="E274" s="522"/>
      <c r="F274" s="522"/>
      <c r="G274" s="520"/>
      <c r="H274" s="520"/>
      <c r="I274" s="520"/>
      <c r="J274" s="520"/>
      <c r="K274" s="624" t="s">
        <v>56</v>
      </c>
      <c r="L274" s="523"/>
      <c r="M274" s="523"/>
    </row>
    <row r="275" spans="1:13" ht="15.75" x14ac:dyDescent="0.25">
      <c r="A275" s="1616"/>
      <c r="B275" s="1618"/>
      <c r="C275" s="1422" t="e">
        <f t="shared" ca="1" si="9"/>
        <v>#DIV/0!</v>
      </c>
      <c r="D275" s="522"/>
      <c r="E275" s="522"/>
      <c r="F275" s="522"/>
      <c r="G275" s="520"/>
      <c r="H275" s="520"/>
      <c r="I275" s="520"/>
      <c r="J275" s="520"/>
      <c r="K275" s="624" t="s">
        <v>56</v>
      </c>
      <c r="L275" s="523"/>
      <c r="M275" s="523"/>
    </row>
    <row r="276" spans="1:13" ht="15.75" x14ac:dyDescent="0.25">
      <c r="A276" s="1420" t="s">
        <v>314</v>
      </c>
      <c r="B276" s="1618">
        <f>M.oBRA!F44</f>
        <v>0</v>
      </c>
      <c r="C276" s="1422" t="e">
        <f t="shared" ca="1" si="9"/>
        <v>#DIV/0!</v>
      </c>
      <c r="D276" s="522"/>
      <c r="E276" s="522"/>
      <c r="F276" s="522"/>
      <c r="G276" s="520"/>
      <c r="H276" s="520"/>
      <c r="I276" s="520"/>
      <c r="J276" s="520"/>
      <c r="K276" s="624" t="s">
        <v>56</v>
      </c>
      <c r="L276" s="523"/>
      <c r="M276" s="523"/>
    </row>
    <row r="277" spans="1:13" ht="15.75" x14ac:dyDescent="0.25">
      <c r="A277" s="1415" t="s">
        <v>308</v>
      </c>
      <c r="B277" s="1618">
        <f ca="1">'C. MÁQ.'!F49</f>
        <v>0</v>
      </c>
      <c r="C277" s="1422" t="e">
        <f t="shared" ca="1" si="9"/>
        <v>#DIV/0!</v>
      </c>
      <c r="D277" s="522"/>
      <c r="E277" s="522"/>
      <c r="F277" s="522"/>
      <c r="G277" s="520"/>
      <c r="H277" s="520"/>
      <c r="I277" s="520"/>
      <c r="J277" s="520"/>
      <c r="K277" s="624" t="s">
        <v>56</v>
      </c>
      <c r="L277" s="523"/>
      <c r="M277" s="523"/>
    </row>
    <row r="278" spans="1:13" ht="15.75" x14ac:dyDescent="0.25">
      <c r="A278" s="1415" t="s">
        <v>309</v>
      </c>
      <c r="B278" s="1618">
        <f>'D. INSTAL.'!F46</f>
        <v>0</v>
      </c>
      <c r="C278" s="1422" t="e">
        <f t="shared" ca="1" si="9"/>
        <v>#DIV/0!</v>
      </c>
      <c r="D278" s="522"/>
      <c r="E278" s="522"/>
      <c r="F278" s="522"/>
      <c r="G278" s="520"/>
      <c r="H278" s="520"/>
      <c r="I278" s="520"/>
      <c r="J278" s="520"/>
      <c r="K278" s="624" t="s">
        <v>56</v>
      </c>
      <c r="L278" s="523"/>
      <c r="M278" s="523"/>
    </row>
    <row r="279" spans="1:13" ht="15.75" x14ac:dyDescent="0.25">
      <c r="A279" s="1415"/>
      <c r="B279" s="1618"/>
      <c r="C279" s="1422" t="e">
        <f t="shared" ca="1" si="9"/>
        <v>#DIV/0!</v>
      </c>
      <c r="D279" s="522"/>
      <c r="E279" s="522"/>
      <c r="F279" s="522"/>
      <c r="G279" s="520"/>
      <c r="H279" s="520"/>
      <c r="I279" s="520"/>
      <c r="J279" s="520"/>
      <c r="K279" s="624" t="s">
        <v>56</v>
      </c>
      <c r="L279" s="523"/>
      <c r="M279" s="523"/>
    </row>
    <row r="280" spans="1:13" ht="15.75" x14ac:dyDescent="0.25">
      <c r="A280" s="1415"/>
      <c r="B280" s="1618"/>
      <c r="C280" s="1422" t="e">
        <f t="shared" ca="1" si="9"/>
        <v>#DIV/0!</v>
      </c>
      <c r="D280" s="522"/>
      <c r="E280" s="522"/>
      <c r="F280" s="522"/>
      <c r="G280" s="520"/>
      <c r="H280" s="520"/>
      <c r="I280" s="520"/>
      <c r="J280" s="520"/>
      <c r="K280" s="624" t="s">
        <v>56</v>
      </c>
      <c r="L280" s="523"/>
      <c r="M280" s="523"/>
    </row>
    <row r="281" spans="1:13" ht="15.75" x14ac:dyDescent="0.25">
      <c r="A281" s="1415"/>
      <c r="B281" s="1615">
        <f ca="1">SUMIF(B271:B280,"&gt;0",B271:B280)</f>
        <v>0</v>
      </c>
      <c r="C281" s="1422"/>
      <c r="D281" s="522"/>
      <c r="E281" s="522"/>
      <c r="F281" s="522"/>
      <c r="G281" s="520"/>
      <c r="H281" s="520"/>
      <c r="I281" s="520"/>
      <c r="J281" s="520"/>
      <c r="K281" s="624" t="s">
        <v>56</v>
      </c>
      <c r="L281" s="523"/>
      <c r="M281" s="523"/>
    </row>
    <row r="282" spans="1:13" ht="15.75" x14ac:dyDescent="0.25">
      <c r="A282" s="1418" t="s">
        <v>691</v>
      </c>
      <c r="B282" s="1414"/>
      <c r="C282" s="1422" t="e">
        <f t="shared" ca="1" si="9"/>
        <v>#DIV/0!</v>
      </c>
      <c r="D282" s="522"/>
      <c r="E282" s="522"/>
      <c r="F282" s="522"/>
      <c r="G282" s="520"/>
      <c r="H282" s="520"/>
      <c r="I282" s="520"/>
      <c r="J282" s="520"/>
      <c r="K282" s="624" t="s">
        <v>56</v>
      </c>
      <c r="L282" s="523"/>
      <c r="M282" s="523"/>
    </row>
    <row r="283" spans="1:13" ht="15.75" x14ac:dyDescent="0.25">
      <c r="A283" s="1415" t="s">
        <v>191</v>
      </c>
      <c r="B283" s="1416">
        <f>'resumo gastos CULTIVOS'!G92</f>
        <v>0</v>
      </c>
      <c r="C283" s="1422" t="e">
        <f t="shared" ca="1" si="9"/>
        <v>#DIV/0!</v>
      </c>
      <c r="D283" s="522"/>
      <c r="E283" s="522"/>
      <c r="F283" s="522"/>
      <c r="G283" s="520"/>
      <c r="H283" s="520"/>
      <c r="I283" s="520"/>
      <c r="J283" s="520"/>
      <c r="K283" s="624" t="s">
        <v>56</v>
      </c>
      <c r="L283" s="523"/>
      <c r="M283" s="523"/>
    </row>
    <row r="284" spans="1:13" ht="15.75" x14ac:dyDescent="0.25">
      <c r="A284" s="1415" t="s">
        <v>315</v>
      </c>
      <c r="B284" s="1416">
        <f>'resumo gastos CULTIVOS'!I92</f>
        <v>0</v>
      </c>
      <c r="C284" s="1422" t="e">
        <f t="shared" ca="1" si="9"/>
        <v>#DIV/0!</v>
      </c>
      <c r="D284" s="522"/>
      <c r="E284" s="522"/>
      <c r="F284" s="522"/>
      <c r="G284" s="520"/>
      <c r="H284" s="520"/>
      <c r="I284" s="520"/>
      <c r="J284" s="520"/>
      <c r="K284" s="624" t="s">
        <v>56</v>
      </c>
      <c r="L284" s="523"/>
      <c r="M284" s="523"/>
    </row>
    <row r="285" spans="1:13" ht="15.75" x14ac:dyDescent="0.25">
      <c r="A285" s="1619" t="s">
        <v>317</v>
      </c>
      <c r="B285" s="1615">
        <f>'C. MÁQ.'!F48+'D. INSTAL.'!F45</f>
        <v>0</v>
      </c>
      <c r="C285" s="1422" t="e">
        <f t="shared" ca="1" si="9"/>
        <v>#DIV/0!</v>
      </c>
      <c r="D285" s="522"/>
      <c r="E285" s="522"/>
      <c r="F285" s="522"/>
      <c r="G285" s="520"/>
      <c r="H285" s="520"/>
      <c r="I285" s="520"/>
      <c r="J285" s="520"/>
      <c r="K285" s="624" t="s">
        <v>56</v>
      </c>
      <c r="L285" s="523"/>
      <c r="M285" s="523"/>
    </row>
    <row r="286" spans="1:13" ht="15.75" x14ac:dyDescent="0.25">
      <c r="A286" s="1614" t="s">
        <v>184</v>
      </c>
      <c r="B286" s="1615">
        <f>SUMIF(B283:B285,"&gt;0",B283:B285)</f>
        <v>0</v>
      </c>
      <c r="C286" s="1422"/>
      <c r="D286" s="530">
        <f>B286</f>
        <v>0</v>
      </c>
      <c r="E286" s="522"/>
      <c r="F286" s="522"/>
      <c r="G286" s="520"/>
      <c r="H286" s="520"/>
      <c r="I286" s="520"/>
      <c r="J286" s="520"/>
      <c r="K286" s="624" t="s">
        <v>56</v>
      </c>
      <c r="L286" s="523"/>
      <c r="M286" s="523"/>
    </row>
    <row r="287" spans="1:13" ht="15.75" x14ac:dyDescent="0.25">
      <c r="A287" s="1418"/>
      <c r="B287" s="1428"/>
      <c r="C287" s="1422" t="e">
        <f t="shared" ca="1" si="9"/>
        <v>#DIV/0!</v>
      </c>
      <c r="D287" s="522"/>
      <c r="E287" s="522"/>
      <c r="F287" s="522"/>
      <c r="G287" s="520"/>
      <c r="H287" s="520"/>
      <c r="I287" s="520"/>
      <c r="J287" s="520"/>
      <c r="K287" s="624" t="s">
        <v>56</v>
      </c>
      <c r="L287" s="523"/>
      <c r="M287" s="523"/>
    </row>
    <row r="288" spans="1:13" ht="15.75" x14ac:dyDescent="0.25">
      <c r="A288" s="1427" t="s">
        <v>700</v>
      </c>
      <c r="B288" s="1428">
        <f ca="1">B281+B286</f>
        <v>0</v>
      </c>
      <c r="C288" s="1422" t="e">
        <f t="shared" ca="1" si="9"/>
        <v>#DIV/0!</v>
      </c>
      <c r="D288" s="522"/>
      <c r="E288" s="522"/>
      <c r="F288" s="522"/>
      <c r="G288" s="520"/>
      <c r="H288" s="520"/>
      <c r="I288" s="520"/>
      <c r="J288" s="520"/>
      <c r="K288" s="624" t="s">
        <v>56</v>
      </c>
      <c r="L288" s="523"/>
      <c r="M288" s="523"/>
    </row>
    <row r="289" spans="1:13" ht="15.75" x14ac:dyDescent="0.25">
      <c r="A289" s="1418" t="s">
        <v>270</v>
      </c>
      <c r="B289" s="1417"/>
      <c r="C289" s="1419"/>
      <c r="D289" s="522"/>
      <c r="E289" s="522"/>
      <c r="F289" s="522"/>
      <c r="G289" s="520"/>
      <c r="H289" s="520"/>
      <c r="I289" s="520"/>
      <c r="J289" s="520"/>
      <c r="K289" s="624" t="s">
        <v>56</v>
      </c>
      <c r="L289" s="523"/>
      <c r="M289" s="523"/>
    </row>
    <row r="290" spans="1:13" ht="15.75" x14ac:dyDescent="0.25">
      <c r="A290" s="42" t="s">
        <v>698</v>
      </c>
      <c r="B290" s="1416">
        <f ca="1">B269-B281</f>
        <v>0</v>
      </c>
      <c r="C290" s="1419"/>
      <c r="D290" s="522"/>
      <c r="E290" s="522"/>
      <c r="F290" s="522"/>
      <c r="G290" s="520"/>
      <c r="H290" s="520"/>
      <c r="I290" s="520"/>
      <c r="J290" s="520"/>
      <c r="K290" s="624" t="s">
        <v>56</v>
      </c>
      <c r="L290" s="523"/>
      <c r="M290" s="523"/>
    </row>
    <row r="291" spans="1:13" ht="15.75" x14ac:dyDescent="0.25">
      <c r="A291" s="42" t="s">
        <v>699</v>
      </c>
      <c r="B291" s="1417">
        <f ca="1">B290-B286</f>
        <v>0</v>
      </c>
      <c r="C291" s="1419"/>
      <c r="D291" s="522"/>
      <c r="E291" s="522"/>
      <c r="F291" s="522"/>
      <c r="G291" s="520"/>
      <c r="H291" s="520"/>
      <c r="I291" s="520"/>
      <c r="J291" s="520"/>
      <c r="K291" s="624" t="s">
        <v>56</v>
      </c>
      <c r="L291" s="523"/>
      <c r="M291" s="523"/>
    </row>
    <row r="292" spans="1:13" ht="15.75" x14ac:dyDescent="0.25">
      <c r="A292" s="540"/>
      <c r="B292" s="526"/>
      <c r="C292" s="540"/>
      <c r="D292" s="522"/>
      <c r="E292" s="522"/>
      <c r="F292" s="522"/>
      <c r="G292" s="520"/>
      <c r="H292" s="520"/>
      <c r="I292" s="520"/>
      <c r="J292" s="520"/>
      <c r="K292" s="624" t="s">
        <v>56</v>
      </c>
      <c r="L292" s="523"/>
      <c r="M292" s="523"/>
    </row>
    <row r="293" spans="1:13" ht="15.75" x14ac:dyDescent="0.25">
      <c r="A293" s="624" t="s">
        <v>56</v>
      </c>
      <c r="B293" s="624" t="s">
        <v>56</v>
      </c>
      <c r="C293" s="624" t="s">
        <v>56</v>
      </c>
      <c r="D293" s="624" t="s">
        <v>56</v>
      </c>
      <c r="E293" s="624" t="s">
        <v>56</v>
      </c>
      <c r="F293" s="624" t="s">
        <v>56</v>
      </c>
      <c r="G293" s="624" t="s">
        <v>56</v>
      </c>
      <c r="H293" s="624" t="s">
        <v>56</v>
      </c>
      <c r="I293" s="624" t="s">
        <v>56</v>
      </c>
      <c r="J293" s="624" t="s">
        <v>56</v>
      </c>
      <c r="K293" s="624" t="s">
        <v>56</v>
      </c>
      <c r="L293" s="523"/>
      <c r="M293" s="523"/>
    </row>
    <row r="294" spans="1:13" ht="15.75" x14ac:dyDescent="0.25">
      <c r="A294" s="624" t="s">
        <v>56</v>
      </c>
      <c r="B294" s="624" t="s">
        <v>56</v>
      </c>
      <c r="C294" s="624" t="s">
        <v>56</v>
      </c>
      <c r="D294" s="624" t="s">
        <v>56</v>
      </c>
      <c r="E294" s="624" t="s">
        <v>56</v>
      </c>
      <c r="F294" s="624" t="s">
        <v>56</v>
      </c>
      <c r="G294" s="624" t="s">
        <v>56</v>
      </c>
      <c r="H294" s="624" t="s">
        <v>56</v>
      </c>
      <c r="I294" s="624" t="s">
        <v>56</v>
      </c>
      <c r="J294" s="624" t="s">
        <v>56</v>
      </c>
      <c r="K294" s="624" t="s">
        <v>56</v>
      </c>
      <c r="L294" s="523"/>
      <c r="M294" s="523"/>
    </row>
    <row r="295" spans="1:13" x14ac:dyDescent="0.2">
      <c r="A295" s="520"/>
      <c r="B295" s="521"/>
      <c r="C295" s="520"/>
      <c r="D295" s="522"/>
      <c r="E295" s="522"/>
      <c r="F295" s="522"/>
      <c r="G295" s="520"/>
      <c r="H295" s="520"/>
      <c r="I295" s="520"/>
      <c r="J295" s="520"/>
      <c r="L295" s="523"/>
      <c r="M295" s="523"/>
    </row>
    <row r="296" spans="1:13" ht="18" x14ac:dyDescent="0.25">
      <c r="A296" s="1620"/>
      <c r="B296" s="1621" t="s">
        <v>58</v>
      </c>
      <c r="C296" s="1622"/>
      <c r="D296" s="1620"/>
      <c r="E296" s="1620"/>
      <c r="F296" s="1620"/>
      <c r="G296" s="1620"/>
      <c r="H296" s="1620"/>
      <c r="I296" s="1620"/>
      <c r="J296" s="1620"/>
      <c r="K296" s="1620"/>
      <c r="L296" s="1623"/>
      <c r="M296" s="523"/>
    </row>
    <row r="297" spans="1:13" x14ac:dyDescent="0.2">
      <c r="A297" s="1620"/>
      <c r="B297" s="1624" t="s">
        <v>196</v>
      </c>
      <c r="C297" s="1624">
        <f>B16</f>
        <v>5805</v>
      </c>
      <c r="D297" s="1624"/>
      <c r="E297" s="1620"/>
      <c r="F297" s="1620"/>
      <c r="G297" s="1620"/>
      <c r="H297" s="1620"/>
      <c r="I297" s="1620"/>
      <c r="J297" s="1620"/>
      <c r="K297" s="1620"/>
      <c r="L297" s="1623"/>
      <c r="M297" s="523"/>
    </row>
    <row r="298" spans="1:13" x14ac:dyDescent="0.2">
      <c r="A298" s="1620"/>
      <c r="B298" s="1624"/>
      <c r="C298" s="1624">
        <f>B286+B252+B224+B193+B168+B144+B116+B88+B63</f>
        <v>4623.75</v>
      </c>
      <c r="D298" s="1625">
        <f>C298-C297</f>
        <v>-1181.25</v>
      </c>
      <c r="E298" s="1620"/>
      <c r="F298" s="1620"/>
      <c r="G298" s="1620"/>
      <c r="H298" s="1620"/>
      <c r="I298" s="1620"/>
      <c r="J298" s="1620"/>
      <c r="K298" s="1620"/>
      <c r="L298" s="1623"/>
      <c r="M298" s="523"/>
    </row>
    <row r="299" spans="1:13" x14ac:dyDescent="0.2">
      <c r="A299" s="1620"/>
      <c r="B299" s="1624"/>
      <c r="C299" s="1624">
        <f>'C. MÁQ.'!P48+'D. INSTAL.'!N45</f>
        <v>5805</v>
      </c>
      <c r="D299" s="1626"/>
      <c r="E299" s="1620"/>
      <c r="F299" s="1620"/>
      <c r="G299" s="1620"/>
      <c r="H299" s="1620"/>
      <c r="I299" s="1620"/>
      <c r="J299" s="1620"/>
      <c r="K299" s="1624"/>
      <c r="L299" s="1623"/>
      <c r="M299" s="523"/>
    </row>
    <row r="300" spans="1:13" x14ac:dyDescent="0.2">
      <c r="A300" s="1620"/>
      <c r="B300" s="1624"/>
      <c r="C300" s="1620"/>
      <c r="D300" s="1620"/>
      <c r="E300" s="1620"/>
      <c r="F300" s="1620"/>
      <c r="G300" s="1620"/>
      <c r="H300" s="1620"/>
      <c r="I300" s="1620"/>
      <c r="J300" s="1620"/>
      <c r="K300" s="1620"/>
      <c r="L300" s="1623"/>
      <c r="M300" s="523"/>
    </row>
    <row r="301" spans="1:13" x14ac:dyDescent="0.2">
      <c r="A301" s="1620"/>
      <c r="B301" s="1624" t="s">
        <v>57</v>
      </c>
      <c r="C301" s="1624" t="e">
        <f>PRODUÇÃO!V28+PRODUÇÃO!V29</f>
        <v>#VALUE!</v>
      </c>
      <c r="D301" s="1620"/>
      <c r="E301" s="1620"/>
      <c r="F301" s="1620"/>
      <c r="G301" s="1620"/>
      <c r="H301" s="1620"/>
      <c r="I301" s="1620"/>
      <c r="J301" s="1620"/>
      <c r="K301" s="1620"/>
      <c r="L301" s="1623"/>
      <c r="M301" s="523"/>
    </row>
    <row r="302" spans="1:13" x14ac:dyDescent="0.2">
      <c r="A302" s="1620"/>
      <c r="B302" s="1624"/>
      <c r="C302" s="1625" t="e">
        <f>B7</f>
        <v>#VALUE!</v>
      </c>
      <c r="D302" s="1620"/>
      <c r="E302" s="1620"/>
      <c r="F302" s="1620"/>
      <c r="G302" s="1620"/>
      <c r="H302" s="1620"/>
      <c r="I302" s="1620"/>
      <c r="J302" s="1620"/>
      <c r="K302" s="1620"/>
      <c r="L302" s="1623"/>
      <c r="M302" s="523"/>
    </row>
    <row r="303" spans="1:13" x14ac:dyDescent="0.2">
      <c r="A303" s="1620"/>
      <c r="B303" s="1624"/>
      <c r="C303" s="1626">
        <f>B269+B237+B208+B182+B157+B133+B102+B76+B40</f>
        <v>15200</v>
      </c>
      <c r="D303" s="1620"/>
      <c r="E303" s="1620"/>
      <c r="F303" s="1620"/>
      <c r="G303" s="1620"/>
      <c r="H303" s="1620"/>
      <c r="I303" s="1620"/>
      <c r="J303" s="1620"/>
      <c r="K303" s="1620"/>
      <c r="L303" s="1623"/>
      <c r="M303" s="523"/>
    </row>
    <row r="304" spans="1:13" x14ac:dyDescent="0.2">
      <c r="A304" s="1620"/>
      <c r="B304" s="1624"/>
      <c r="C304" s="1620"/>
      <c r="D304" s="1620"/>
      <c r="E304" s="1620"/>
      <c r="F304" s="1620"/>
      <c r="G304" s="1620"/>
      <c r="H304" s="1620"/>
      <c r="I304" s="1620"/>
      <c r="J304" s="1620"/>
      <c r="K304" s="1620"/>
      <c r="L304" s="1623"/>
      <c r="M304" s="523"/>
    </row>
    <row r="305" spans="1:13" x14ac:dyDescent="0.2">
      <c r="A305" s="1620"/>
      <c r="B305" s="1624" t="s">
        <v>272</v>
      </c>
      <c r="C305" s="1627">
        <f>B15</f>
        <v>0</v>
      </c>
      <c r="D305" s="1620"/>
      <c r="E305" s="1620"/>
      <c r="F305" s="1620"/>
      <c r="G305" s="1620"/>
      <c r="H305" s="1620"/>
      <c r="I305" s="1620"/>
      <c r="J305" s="1620"/>
      <c r="K305" s="1620"/>
      <c r="L305" s="1623"/>
      <c r="M305" s="523"/>
    </row>
    <row r="306" spans="1:13" x14ac:dyDescent="0.2">
      <c r="A306" s="1620"/>
      <c r="B306" s="1624"/>
      <c r="C306" s="1627">
        <f>'C. MÁQ.'!L24+'D. INSTAL.'!L23+'DESPESAS (Agr.)'!I412+'DESPESAS (Gado)'!H37+'A. DESPESAS (Outras)'!D88+'H. proces. caseiro alimentos'!E23+'OUTROS CUSTOS'!B15+M.oBRA!F36</f>
        <v>0</v>
      </c>
      <c r="D306" s="1626"/>
      <c r="E306" s="1620"/>
      <c r="F306" s="1620">
        <f>M.oBRA!H44+M.oBRA!I44+M.oBRA!J44+M.oBRA!K44</f>
        <v>0</v>
      </c>
      <c r="G306" s="1620"/>
      <c r="H306" s="1620"/>
      <c r="I306" s="1620"/>
      <c r="J306" s="1620"/>
      <c r="K306" s="1620"/>
      <c r="L306" s="1623"/>
      <c r="M306" s="523"/>
    </row>
    <row r="307" spans="1:13" x14ac:dyDescent="0.2">
      <c r="A307" s="1620"/>
      <c r="B307" s="1624"/>
      <c r="C307" s="1627">
        <f ca="1">B281+B247+B219+B189+B164+B140+B111+B84+B58</f>
        <v>0</v>
      </c>
      <c r="D307" s="1626">
        <f ca="1">C307-C306</f>
        <v>0</v>
      </c>
      <c r="E307" s="1620"/>
      <c r="F307" s="1620"/>
      <c r="G307" s="1620"/>
      <c r="H307" s="1620"/>
      <c r="I307" s="1620"/>
      <c r="J307" s="1620"/>
      <c r="K307" s="1626">
        <f ca="1">C307-C306</f>
        <v>0</v>
      </c>
      <c r="L307" s="1623"/>
      <c r="M307" s="523"/>
    </row>
    <row r="308" spans="1:13" x14ac:dyDescent="0.2">
      <c r="A308" s="1620"/>
      <c r="B308" s="1624"/>
      <c r="C308" s="1620"/>
      <c r="D308" s="1620"/>
      <c r="E308" s="1620"/>
      <c r="F308" s="1620"/>
      <c r="G308" s="1620"/>
      <c r="H308" s="1620"/>
      <c r="I308" s="1620"/>
      <c r="J308" s="1620"/>
      <c r="K308" s="1620"/>
      <c r="L308" s="1623"/>
      <c r="M308" s="523"/>
    </row>
    <row r="309" spans="1:13" x14ac:dyDescent="0.2">
      <c r="A309" s="1620"/>
      <c r="B309" s="1624"/>
      <c r="C309" s="1620"/>
      <c r="D309" s="1620"/>
      <c r="E309" s="1620"/>
      <c r="F309" s="1620"/>
      <c r="G309" s="1620"/>
      <c r="H309" s="1620"/>
      <c r="I309" s="1620"/>
      <c r="J309" s="1620"/>
      <c r="K309" s="1620"/>
      <c r="L309" s="1623"/>
      <c r="M309" s="523"/>
    </row>
    <row r="310" spans="1:13" x14ac:dyDescent="0.2">
      <c r="A310" s="1620"/>
      <c r="B310" s="1624"/>
      <c r="C310" s="1624"/>
      <c r="D310" s="1620"/>
      <c r="E310" s="1620"/>
      <c r="F310" s="1620"/>
      <c r="G310" s="1620"/>
      <c r="H310" s="1620"/>
      <c r="I310" s="1620"/>
      <c r="J310" s="1620"/>
      <c r="K310" s="1620"/>
      <c r="L310" s="1623"/>
      <c r="M310" s="523"/>
    </row>
    <row r="311" spans="1:13" x14ac:dyDescent="0.2">
      <c r="A311" s="1620"/>
      <c r="B311" s="1624"/>
      <c r="C311" s="1624"/>
      <c r="D311" s="1626"/>
      <c r="E311" s="1620"/>
      <c r="F311" s="1620"/>
      <c r="G311" s="1620"/>
      <c r="H311" s="1620"/>
      <c r="I311" s="1620"/>
      <c r="J311" s="1620"/>
      <c r="K311" s="1620"/>
      <c r="L311" s="1623"/>
      <c r="M311" s="523"/>
    </row>
    <row r="312" spans="1:13" x14ac:dyDescent="0.2">
      <c r="A312" s="1620"/>
      <c r="B312" s="1624"/>
      <c r="C312" s="1620"/>
      <c r="D312" s="1620"/>
      <c r="E312" s="1620"/>
      <c r="F312" s="1620"/>
      <c r="G312" s="1620"/>
      <c r="H312" s="1620"/>
      <c r="I312" s="1620"/>
      <c r="J312" s="1620"/>
      <c r="K312" s="1620"/>
      <c r="L312" s="1623"/>
      <c r="M312" s="523"/>
    </row>
    <row r="313" spans="1:13" x14ac:dyDescent="0.2">
      <c r="A313" s="1620"/>
      <c r="B313" s="1624" t="s">
        <v>601</v>
      </c>
      <c r="C313" s="1624">
        <f ca="1">C303-C299-C307</f>
        <v>9395</v>
      </c>
      <c r="D313" s="1620"/>
      <c r="E313" s="1620"/>
      <c r="F313" s="1620"/>
      <c r="G313" s="1620"/>
      <c r="H313" s="1620"/>
      <c r="I313" s="1620"/>
      <c r="J313" s="1620"/>
      <c r="K313" s="1620"/>
      <c r="L313" s="1623"/>
      <c r="M313" s="523"/>
    </row>
    <row r="314" spans="1:13" x14ac:dyDescent="0.2">
      <c r="A314" s="1620"/>
      <c r="B314" s="1624"/>
      <c r="C314" s="1624" t="e">
        <f>B24-B23</f>
        <v>#VALUE!</v>
      </c>
      <c r="D314" s="1620"/>
      <c r="E314" s="1620"/>
      <c r="F314" s="1620"/>
      <c r="G314" s="1620"/>
      <c r="H314" s="1620"/>
      <c r="I314" s="1620"/>
      <c r="J314" s="1620"/>
      <c r="K314" s="1625" t="e">
        <f ca="1">C315-C314</f>
        <v>#VALUE!</v>
      </c>
      <c r="L314" s="1623"/>
      <c r="M314" s="523"/>
    </row>
    <row r="315" spans="1:13" ht="15.75" x14ac:dyDescent="0.25">
      <c r="A315" s="1620"/>
      <c r="B315" s="1624"/>
      <c r="C315" s="1624">
        <f ca="1">B291+B261+B229+B198+B174+B149+B125+B93+B68</f>
        <v>10576.25</v>
      </c>
      <c r="D315" s="1628" t="e">
        <f ca="1">C314-C315</f>
        <v>#VALUE!</v>
      </c>
      <c r="E315" s="1629"/>
      <c r="F315" s="1629"/>
      <c r="G315" s="1629"/>
      <c r="H315" s="1629"/>
      <c r="I315" s="1629"/>
      <c r="J315" s="1629"/>
      <c r="K315" s="1629"/>
      <c r="L315" s="1623"/>
      <c r="M315" s="523"/>
    </row>
    <row r="316" spans="1:13" x14ac:dyDescent="0.2">
      <c r="A316" s="1629"/>
      <c r="B316" s="1630"/>
      <c r="C316" s="1629"/>
      <c r="D316" s="1629"/>
      <c r="E316" s="1629"/>
      <c r="F316" s="1629"/>
      <c r="G316" s="1631"/>
      <c r="H316" s="1629"/>
      <c r="I316" s="1629"/>
      <c r="J316" s="1629"/>
      <c r="K316" s="1629"/>
      <c r="L316" s="1632"/>
    </row>
    <row r="317" spans="1:13" x14ac:dyDescent="0.2">
      <c r="A317" s="1629"/>
      <c r="B317" s="1630"/>
      <c r="C317" s="1629"/>
      <c r="D317" s="1629"/>
      <c r="E317" s="1629"/>
      <c r="F317" s="1629"/>
      <c r="G317" s="1629"/>
      <c r="H317" s="1629"/>
      <c r="I317" s="1629"/>
      <c r="J317" s="1629"/>
      <c r="K317" s="1629"/>
      <c r="L317" s="1632"/>
    </row>
    <row r="318" spans="1:13" x14ac:dyDescent="0.2">
      <c r="A318" s="1629"/>
      <c r="B318" s="1630"/>
      <c r="C318" s="1629"/>
      <c r="D318" s="1629"/>
      <c r="E318" s="1629"/>
      <c r="F318" s="1629"/>
      <c r="G318" s="1629"/>
      <c r="H318" s="1629"/>
      <c r="I318" s="1629"/>
      <c r="J318" s="1629"/>
      <c r="K318" s="1629"/>
      <c r="L318" s="1632"/>
    </row>
    <row r="319" spans="1:13" x14ac:dyDescent="0.2">
      <c r="D319" s="522"/>
      <c r="E319" s="522"/>
      <c r="F319" s="522"/>
    </row>
    <row r="320" spans="1:13" x14ac:dyDescent="0.2">
      <c r="D320" s="522"/>
      <c r="E320" s="522"/>
      <c r="F320" s="522"/>
    </row>
  </sheetData>
  <mergeCells count="18">
    <mergeCell ref="A233:C233"/>
    <mergeCell ref="A265:C265"/>
    <mergeCell ref="A153:C153"/>
    <mergeCell ref="A73:C73"/>
    <mergeCell ref="A98:C98"/>
    <mergeCell ref="A129:C129"/>
    <mergeCell ref="A178:C178"/>
    <mergeCell ref="A202:C202"/>
    <mergeCell ref="B232:C232"/>
    <mergeCell ref="B201:C201"/>
    <mergeCell ref="A2:C2"/>
    <mergeCell ref="A28:C28"/>
    <mergeCell ref="A27:C27"/>
    <mergeCell ref="B177:C177"/>
    <mergeCell ref="B152:C152"/>
    <mergeCell ref="B128:C128"/>
    <mergeCell ref="B97:C97"/>
    <mergeCell ref="B72:C72"/>
  </mergeCells>
  <phoneticPr fontId="50" type="noConversion"/>
  <pageMargins left="0.51181102362204722" right="0.51181102362204722" top="0.78740157480314965" bottom="0.78740157480314965" header="0.31496062992125984" footer="0.31496062992125984"/>
  <pageSetup paperSize="9" scale="49" orientation="portrait" r:id="rId1"/>
  <headerFooter alignWithMargins="0"/>
  <rowBreaks count="2" manualBreakCount="2">
    <brk id="96" max="2" man="1"/>
    <brk id="200" max="2" man="1"/>
  </rowBreaks>
  <colBreaks count="1" manualBreakCount="1">
    <brk id="6"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V178"/>
  <sheetViews>
    <sheetView topLeftCell="A61" zoomScale="70" zoomScaleNormal="70" workbookViewId="0">
      <selection activeCell="C71" sqref="C71"/>
    </sheetView>
  </sheetViews>
  <sheetFormatPr defaultColWidth="8.85546875" defaultRowHeight="12.75" x14ac:dyDescent="0.2"/>
  <cols>
    <col min="1" max="2" width="8.85546875" style="22"/>
    <col min="3" max="3" width="12.140625" style="22" customWidth="1"/>
    <col min="4" max="4" width="8.85546875" style="22"/>
    <col min="5" max="5" width="10.28515625" style="22" customWidth="1"/>
    <col min="6" max="6" width="15" style="22" customWidth="1"/>
    <col min="7" max="7" width="17.85546875" style="22" customWidth="1"/>
    <col min="8" max="8" width="12.7109375" style="22" customWidth="1"/>
    <col min="9" max="10" width="8.85546875" style="22"/>
    <col min="11" max="11" width="17.28515625" style="22" customWidth="1"/>
    <col min="12" max="12" width="34.7109375" style="22" customWidth="1"/>
    <col min="13" max="16384" width="8.85546875" style="22"/>
  </cols>
  <sheetData>
    <row r="1" spans="2:22" ht="13.5" thickBot="1" x14ac:dyDescent="0.25"/>
    <row r="2" spans="2:22" ht="18.75" thickBot="1" x14ac:dyDescent="0.3">
      <c r="B2" s="3097" t="s">
        <v>195</v>
      </c>
      <c r="C2" s="3098"/>
      <c r="D2" s="3098"/>
      <c r="E2" s="3098"/>
      <c r="F2" s="3098"/>
      <c r="G2" s="3098"/>
      <c r="H2" s="3098"/>
      <c r="I2" s="3098"/>
      <c r="J2" s="3098"/>
      <c r="K2" s="3098"/>
      <c r="L2" s="3099"/>
      <c r="M2" s="863" t="s">
        <v>785</v>
      </c>
    </row>
    <row r="3" spans="2:22" s="1705" customFormat="1" ht="27" customHeight="1" thickBot="1" x14ac:dyDescent="0.3">
      <c r="B3" s="3130" t="s">
        <v>738</v>
      </c>
      <c r="C3" s="3131"/>
      <c r="D3" s="3131"/>
      <c r="E3" s="1706">
        <f ca="1">C75</f>
        <v>3</v>
      </c>
      <c r="F3" s="3130" t="s">
        <v>739</v>
      </c>
      <c r="G3" s="3131"/>
      <c r="H3" s="3110" t="str">
        <f ca="1">IF(E3&gt;0,"VERIFIQUE ERROS APONTADOS ABAIXO","-")</f>
        <v>VERIFIQUE ERROS APONTADOS ABAIXO</v>
      </c>
      <c r="I3" s="3110"/>
      <c r="J3" s="3110"/>
      <c r="K3" s="3111"/>
      <c r="L3" s="3112"/>
      <c r="M3" s="863" t="s">
        <v>785</v>
      </c>
    </row>
    <row r="4" spans="2:22" s="1705" customFormat="1" ht="27" customHeight="1" thickBot="1" x14ac:dyDescent="0.3">
      <c r="B4" s="1723"/>
      <c r="C4" s="1724"/>
      <c r="D4" s="1724"/>
      <c r="E4" s="1725"/>
      <c r="F4" s="1724"/>
      <c r="G4" s="1724"/>
      <c r="H4" s="1726"/>
      <c r="I4" s="1726"/>
      <c r="J4" s="1726"/>
      <c r="K4" s="1726"/>
      <c r="L4" s="1727"/>
      <c r="M4" s="863" t="s">
        <v>785</v>
      </c>
    </row>
    <row r="5" spans="2:22" s="1705" customFormat="1" ht="96.6" customHeight="1" thickBot="1" x14ac:dyDescent="0.25">
      <c r="B5" s="3114" t="s">
        <v>21</v>
      </c>
      <c r="C5" s="3115"/>
      <c r="D5" s="3115"/>
      <c r="E5" s="3115"/>
      <c r="F5" s="3115"/>
      <c r="G5" s="3115"/>
      <c r="H5" s="3115"/>
      <c r="I5" s="3115"/>
      <c r="J5" s="3115"/>
      <c r="K5" s="3115"/>
      <c r="L5" s="3116"/>
      <c r="M5" s="863" t="s">
        <v>785</v>
      </c>
    </row>
    <row r="6" spans="2:22" s="1705" customFormat="1" ht="27" customHeight="1" thickBot="1" x14ac:dyDescent="0.3">
      <c r="B6" s="1723"/>
      <c r="C6" s="1724"/>
      <c r="D6" s="1724"/>
      <c r="E6" s="1725"/>
      <c r="F6" s="1724"/>
      <c r="G6" s="1724"/>
      <c r="H6" s="1726"/>
      <c r="I6" s="1726"/>
      <c r="J6" s="1726"/>
      <c r="K6" s="1726"/>
      <c r="L6" s="1727"/>
      <c r="M6" s="863" t="s">
        <v>785</v>
      </c>
    </row>
    <row r="7" spans="2:22" s="1705" customFormat="1" ht="27" customHeight="1" thickBot="1" x14ac:dyDescent="0.3">
      <c r="B7" s="3100" t="s">
        <v>782</v>
      </c>
      <c r="C7" s="3101"/>
      <c r="D7" s="3102"/>
      <c r="E7" s="3103"/>
      <c r="F7" s="1728"/>
      <c r="G7" s="1724"/>
      <c r="H7" s="3132" t="s">
        <v>783</v>
      </c>
      <c r="I7" s="3132"/>
      <c r="J7" s="3132"/>
      <c r="K7" s="1726"/>
      <c r="L7" s="1727"/>
      <c r="M7" s="863" t="s">
        <v>785</v>
      </c>
    </row>
    <row r="8" spans="2:22" s="1705" customFormat="1" ht="27" customHeight="1" x14ac:dyDescent="0.25">
      <c r="B8" s="3120">
        <f>auditorias!C40</f>
        <v>0</v>
      </c>
      <c r="C8" s="3121"/>
      <c r="D8" s="3094" t="str">
        <f>auditorias!D40</f>
        <v>CERTO</v>
      </c>
      <c r="E8" s="3095"/>
      <c r="F8" s="1728"/>
      <c r="G8" s="1724"/>
      <c r="H8" s="3096">
        <f ca="1">auditorias!C45</f>
        <v>9395</v>
      </c>
      <c r="I8" s="3096"/>
      <c r="J8" s="3096"/>
      <c r="K8" s="1729" t="e">
        <f ca="1">auditorias!D45</f>
        <v>#VALUE!</v>
      </c>
      <c r="L8" s="1727"/>
      <c r="M8" s="863" t="s">
        <v>785</v>
      </c>
    </row>
    <row r="9" spans="2:22" s="1705" customFormat="1" ht="27" customHeight="1" x14ac:dyDescent="0.25">
      <c r="B9" s="3122">
        <f>auditorias!C41</f>
        <v>0</v>
      </c>
      <c r="C9" s="3123"/>
      <c r="D9" s="3094" t="str">
        <f ca="1">auditorias!D41</f>
        <v>CERTO</v>
      </c>
      <c r="E9" s="3095"/>
      <c r="F9" s="1724"/>
      <c r="G9" s="1724"/>
      <c r="H9" s="3096" t="e">
        <f>auditorias!C46</f>
        <v>#VALUE!</v>
      </c>
      <c r="I9" s="3096"/>
      <c r="J9" s="3096"/>
      <c r="K9" s="1729" t="e">
        <f ca="1">auditorias!D46</f>
        <v>#VALUE!</v>
      </c>
      <c r="L9" s="1727"/>
      <c r="M9" s="863" t="s">
        <v>785</v>
      </c>
    </row>
    <row r="10" spans="2:22" s="1705" customFormat="1" ht="27" customHeight="1" thickBot="1" x14ac:dyDescent="0.3">
      <c r="B10" s="3124">
        <f ca="1">auditorias!C42</f>
        <v>0</v>
      </c>
      <c r="C10" s="3125"/>
      <c r="D10" s="3094" t="str">
        <f ca="1">auditorias!D42</f>
        <v>CERTO</v>
      </c>
      <c r="E10" s="3095"/>
      <c r="F10" s="1724"/>
      <c r="G10" s="1724"/>
      <c r="H10" s="3096">
        <f ca="1">auditorias!C47</f>
        <v>10576.25</v>
      </c>
      <c r="I10" s="3096"/>
      <c r="J10" s="3096"/>
      <c r="K10" s="1729" t="str">
        <f ca="1">auditorias!D47</f>
        <v>ERRO</v>
      </c>
      <c r="L10" s="1727"/>
      <c r="M10" s="863" t="s">
        <v>785</v>
      </c>
    </row>
    <row r="11" spans="2:22" s="1705" customFormat="1" ht="27" customHeight="1" x14ac:dyDescent="0.2">
      <c r="B11" s="3117"/>
      <c r="C11" s="3118"/>
      <c r="D11" s="3118"/>
      <c r="E11" s="3118"/>
      <c r="F11" s="3118"/>
      <c r="G11" s="3118"/>
      <c r="H11" s="3118"/>
      <c r="I11" s="3118"/>
      <c r="J11" s="3118"/>
      <c r="K11" s="3118"/>
      <c r="L11" s="3119"/>
      <c r="M11" s="863" t="s">
        <v>785</v>
      </c>
    </row>
    <row r="12" spans="2:22" ht="27" customHeight="1" thickBot="1" x14ac:dyDescent="0.25">
      <c r="B12" s="1680"/>
      <c r="C12" s="958"/>
      <c r="D12" s="958"/>
      <c r="E12" s="30"/>
      <c r="F12" s="958"/>
      <c r="G12" s="958"/>
      <c r="H12" s="1672"/>
      <c r="I12" s="1672"/>
      <c r="J12" s="1672"/>
      <c r="K12" s="1672"/>
      <c r="L12" s="1681"/>
      <c r="M12" s="863" t="s">
        <v>785</v>
      </c>
    </row>
    <row r="13" spans="2:22" ht="61.9" customHeight="1" thickBot="1" x14ac:dyDescent="0.25">
      <c r="B13" s="1707" t="s">
        <v>740</v>
      </c>
      <c r="C13" s="1708" t="s">
        <v>568</v>
      </c>
      <c r="D13" s="3104" t="s">
        <v>741</v>
      </c>
      <c r="E13" s="3105"/>
      <c r="F13" s="3105"/>
      <c r="G13" s="3105"/>
      <c r="H13" s="3105"/>
      <c r="I13" s="3105"/>
      <c r="J13" s="3105"/>
      <c r="K13" s="3106"/>
      <c r="L13" s="1709" t="s">
        <v>747</v>
      </c>
      <c r="M13" s="863" t="s">
        <v>785</v>
      </c>
    </row>
    <row r="14" spans="2:22" ht="44.45" customHeight="1" x14ac:dyDescent="0.2">
      <c r="B14" s="1710">
        <v>1</v>
      </c>
      <c r="C14" s="1711" t="str">
        <f>auditorias!C9</f>
        <v>CERTO</v>
      </c>
      <c r="D14" s="3126" t="str">
        <f>auditorias!D9</f>
        <v>-</v>
      </c>
      <c r="E14" s="3126"/>
      <c r="F14" s="3126"/>
      <c r="G14" s="3126"/>
      <c r="H14" s="3126"/>
      <c r="I14" s="3126"/>
      <c r="J14" s="3126"/>
      <c r="K14" s="3126"/>
      <c r="L14" s="1712" t="s">
        <v>749</v>
      </c>
      <c r="M14" s="863" t="s">
        <v>785</v>
      </c>
    </row>
    <row r="15" spans="2:22" ht="43.9" customHeight="1" x14ac:dyDescent="0.25">
      <c r="B15" s="1713">
        <f>B14+1</f>
        <v>2</v>
      </c>
      <c r="C15" s="1714" t="str">
        <f>auditorias!C10</f>
        <v>CERTO</v>
      </c>
      <c r="D15" s="3113" t="str">
        <f>auditorias!D10</f>
        <v>-</v>
      </c>
      <c r="E15" s="3113"/>
      <c r="F15" s="3113"/>
      <c r="G15" s="3113"/>
      <c r="H15" s="3113"/>
      <c r="I15" s="3113"/>
      <c r="J15" s="3113"/>
      <c r="K15" s="3113"/>
      <c r="L15" s="1715" t="s">
        <v>750</v>
      </c>
      <c r="M15" s="863" t="s">
        <v>785</v>
      </c>
      <c r="N15" s="1679"/>
      <c r="O15" s="1679"/>
      <c r="P15" s="1679"/>
      <c r="Q15" s="1679"/>
      <c r="R15" s="1679"/>
      <c r="S15" s="1679"/>
      <c r="T15" s="1679"/>
      <c r="U15" s="1679"/>
      <c r="V15" s="1679"/>
    </row>
    <row r="16" spans="2:22" ht="61.9" customHeight="1" x14ac:dyDescent="0.25">
      <c r="B16" s="1713">
        <f t="shared" ref="B16:B73" si="0">B15+1</f>
        <v>3</v>
      </c>
      <c r="C16" s="1714" t="str">
        <f>auditorias!C11</f>
        <v>CERTO</v>
      </c>
      <c r="D16" s="3113" t="str">
        <f>auditorias!D11</f>
        <v>-</v>
      </c>
      <c r="E16" s="3113"/>
      <c r="F16" s="3113"/>
      <c r="G16" s="3113"/>
      <c r="H16" s="3113"/>
      <c r="I16" s="3113"/>
      <c r="J16" s="3113"/>
      <c r="K16" s="3113"/>
      <c r="L16" s="1715" t="s">
        <v>750</v>
      </c>
      <c r="M16" s="863" t="s">
        <v>785</v>
      </c>
    </row>
    <row r="17" spans="2:13" ht="46.9" customHeight="1" x14ac:dyDescent="0.25">
      <c r="B17" s="1713">
        <f t="shared" si="0"/>
        <v>4</v>
      </c>
      <c r="C17" s="1714" t="str">
        <f>auditorias!C12</f>
        <v>CERTO</v>
      </c>
      <c r="D17" s="3113" t="str">
        <f>auditorias!D12</f>
        <v>-</v>
      </c>
      <c r="E17" s="3113"/>
      <c r="F17" s="3113"/>
      <c r="G17" s="3113"/>
      <c r="H17" s="3113"/>
      <c r="I17" s="3113"/>
      <c r="J17" s="3113"/>
      <c r="K17" s="3113"/>
      <c r="L17" s="1715" t="s">
        <v>750</v>
      </c>
      <c r="M17" s="863" t="s">
        <v>785</v>
      </c>
    </row>
    <row r="18" spans="2:13" ht="46.9" customHeight="1" x14ac:dyDescent="0.25">
      <c r="B18" s="1713">
        <f t="shared" si="0"/>
        <v>5</v>
      </c>
      <c r="C18" s="1714" t="str">
        <f>auditorias!C13</f>
        <v>CERTO</v>
      </c>
      <c r="D18" s="3113" t="str">
        <f>auditorias!D13</f>
        <v>-</v>
      </c>
      <c r="E18" s="3113"/>
      <c r="F18" s="3113"/>
      <c r="G18" s="3113"/>
      <c r="H18" s="3113"/>
      <c r="I18" s="3113"/>
      <c r="J18" s="3113"/>
      <c r="K18" s="3113"/>
      <c r="L18" s="1715" t="s">
        <v>750</v>
      </c>
      <c r="M18" s="863" t="s">
        <v>785</v>
      </c>
    </row>
    <row r="19" spans="2:13" ht="46.9" customHeight="1" x14ac:dyDescent="0.25">
      <c r="B19" s="1713">
        <f t="shared" si="0"/>
        <v>6</v>
      </c>
      <c r="C19" s="1714" t="str">
        <f>auditorias!C14</f>
        <v>CERTO</v>
      </c>
      <c r="D19" s="3113" t="str">
        <f>auditorias!D14</f>
        <v>-</v>
      </c>
      <c r="E19" s="3113"/>
      <c r="F19" s="3113"/>
      <c r="G19" s="3113"/>
      <c r="H19" s="3113"/>
      <c r="I19" s="3113"/>
      <c r="J19" s="3113"/>
      <c r="K19" s="3113"/>
      <c r="L19" s="1715" t="s">
        <v>750</v>
      </c>
      <c r="M19" s="863" t="s">
        <v>785</v>
      </c>
    </row>
    <row r="20" spans="2:13" ht="38.450000000000003" customHeight="1" x14ac:dyDescent="0.2">
      <c r="B20" s="1713">
        <f t="shared" si="0"/>
        <v>7</v>
      </c>
      <c r="C20" s="1714" t="str">
        <f>auditorias!D30</f>
        <v>ERRO</v>
      </c>
      <c r="D20" s="3113" t="str">
        <f>auditorias!E30</f>
        <v>verifique os percentuais de rateio nas planilhas maquinas e equipamentos e instalação e investimentos: fechou os percentuais em 100% ? Não pode haver percentuiais de rateio onde não há atividade !!!</v>
      </c>
      <c r="E20" s="3113"/>
      <c r="F20" s="3113"/>
      <c r="G20" s="3113"/>
      <c r="H20" s="3113"/>
      <c r="I20" s="3113"/>
      <c r="J20" s="3113"/>
      <c r="K20" s="3113"/>
      <c r="L20" s="1716" t="s">
        <v>751</v>
      </c>
      <c r="M20" s="863" t="s">
        <v>785</v>
      </c>
    </row>
    <row r="21" spans="2:13" ht="40.9" customHeight="1" x14ac:dyDescent="0.2">
      <c r="B21" s="1713">
        <f t="shared" si="0"/>
        <v>8</v>
      </c>
      <c r="C21" s="1714" t="str">
        <f>auditorias!D31</f>
        <v>ERRO</v>
      </c>
      <c r="D21" s="3113" t="str">
        <f>auditorias!E31</f>
        <v>verifique os percentuais de rateio nas planilhas maquinas e equipamentos e instalação e investimentos: fechou os percentuais em 100% ? Não pode haver percentuiais de rateio onde não há atividade !!!</v>
      </c>
      <c r="E21" s="3113"/>
      <c r="F21" s="3113"/>
      <c r="G21" s="3113"/>
      <c r="H21" s="3113"/>
      <c r="I21" s="3113"/>
      <c r="J21" s="3113"/>
      <c r="K21" s="3113"/>
      <c r="L21" s="1716" t="s">
        <v>751</v>
      </c>
      <c r="M21" s="863" t="s">
        <v>785</v>
      </c>
    </row>
    <row r="22" spans="2:13" ht="46.15" customHeight="1" x14ac:dyDescent="0.2">
      <c r="B22" s="1713">
        <f t="shared" si="0"/>
        <v>9</v>
      </c>
      <c r="C22" s="1714" t="str">
        <f>auditorias!D32</f>
        <v>CERTO</v>
      </c>
      <c r="D22" s="3113" t="str">
        <f>auditorias!E32</f>
        <v>-</v>
      </c>
      <c r="E22" s="3113"/>
      <c r="F22" s="3113"/>
      <c r="G22" s="3113"/>
      <c r="H22" s="3113"/>
      <c r="I22" s="3113"/>
      <c r="J22" s="3113"/>
      <c r="K22" s="3113"/>
      <c r="L22" s="1716" t="s">
        <v>751</v>
      </c>
      <c r="M22" s="863" t="s">
        <v>785</v>
      </c>
    </row>
    <row r="23" spans="2:13" ht="22.9" customHeight="1" x14ac:dyDescent="0.2">
      <c r="B23" s="1713">
        <f t="shared" si="0"/>
        <v>10</v>
      </c>
      <c r="C23" s="1717" t="e">
        <f>auditorias!D35</f>
        <v>#VALUE!</v>
      </c>
      <c r="D23" s="3113" t="e">
        <f>auditorias!E35</f>
        <v>#VALUE!</v>
      </c>
      <c r="E23" s="3113"/>
      <c r="F23" s="3113"/>
      <c r="G23" s="3113"/>
      <c r="H23" s="3113"/>
      <c r="I23" s="3113"/>
      <c r="J23" s="3113"/>
      <c r="K23" s="3113"/>
      <c r="L23" s="1716" t="s">
        <v>752</v>
      </c>
      <c r="M23" s="863" t="s">
        <v>785</v>
      </c>
    </row>
    <row r="24" spans="2:13" ht="18.600000000000001" customHeight="1" x14ac:dyDescent="0.2">
      <c r="B24" s="1713">
        <f t="shared" si="0"/>
        <v>11</v>
      </c>
      <c r="C24" s="1717" t="e">
        <f>auditorias!D36</f>
        <v>#VALUE!</v>
      </c>
      <c r="D24" s="3113" t="e">
        <f>auditorias!E36</f>
        <v>#VALUE!</v>
      </c>
      <c r="E24" s="3113"/>
      <c r="F24" s="3113"/>
      <c r="G24" s="3113"/>
      <c r="H24" s="3113"/>
      <c r="I24" s="3113"/>
      <c r="J24" s="3113"/>
      <c r="K24" s="3113"/>
      <c r="L24" s="1716" t="s">
        <v>752</v>
      </c>
      <c r="M24" s="863" t="s">
        <v>785</v>
      </c>
    </row>
    <row r="25" spans="2:13" ht="24.6" customHeight="1" x14ac:dyDescent="0.2">
      <c r="B25" s="1713">
        <f t="shared" si="0"/>
        <v>12</v>
      </c>
      <c r="C25" s="1717" t="e">
        <f>auditorias!D37</f>
        <v>#VALUE!</v>
      </c>
      <c r="D25" s="3113" t="e">
        <f>auditorias!E37</f>
        <v>#VALUE!</v>
      </c>
      <c r="E25" s="3113"/>
      <c r="F25" s="3113"/>
      <c r="G25" s="3113"/>
      <c r="H25" s="3113"/>
      <c r="I25" s="3113"/>
      <c r="J25" s="3113"/>
      <c r="K25" s="3113"/>
      <c r="L25" s="1716" t="s">
        <v>752</v>
      </c>
      <c r="M25" s="863" t="s">
        <v>785</v>
      </c>
    </row>
    <row r="26" spans="2:13" ht="42.6" customHeight="1" x14ac:dyDescent="0.2">
      <c r="B26" s="1713">
        <f t="shared" si="0"/>
        <v>13</v>
      </c>
      <c r="C26" s="1717" t="str">
        <f>auditorias!D40</f>
        <v>CERTO</v>
      </c>
      <c r="D26" s="3113" t="str">
        <f>auditorias!E40</f>
        <v>-</v>
      </c>
      <c r="E26" s="3113"/>
      <c r="F26" s="3113"/>
      <c r="G26" s="3113"/>
      <c r="H26" s="3113"/>
      <c r="I26" s="3113"/>
      <c r="J26" s="3113"/>
      <c r="K26" s="3113"/>
      <c r="L26" s="1716"/>
      <c r="M26" s="863" t="s">
        <v>785</v>
      </c>
    </row>
    <row r="27" spans="2:13" ht="40.9" customHeight="1" x14ac:dyDescent="0.2">
      <c r="B27" s="1713">
        <f t="shared" si="0"/>
        <v>14</v>
      </c>
      <c r="C27" s="1717" t="str">
        <f ca="1">auditorias!D41</f>
        <v>CERTO</v>
      </c>
      <c r="D27" s="3113" t="str">
        <f ca="1">auditorias!E41</f>
        <v>-</v>
      </c>
      <c r="E27" s="3113"/>
      <c r="F27" s="3113"/>
      <c r="G27" s="3113"/>
      <c r="H27" s="3113"/>
      <c r="I27" s="3113"/>
      <c r="J27" s="3113"/>
      <c r="K27" s="3113"/>
      <c r="L27" s="1716"/>
      <c r="M27" s="863" t="s">
        <v>785</v>
      </c>
    </row>
    <row r="28" spans="2:13" ht="48.6" customHeight="1" x14ac:dyDescent="0.2">
      <c r="B28" s="1713">
        <f t="shared" si="0"/>
        <v>15</v>
      </c>
      <c r="C28" s="1717" t="str">
        <f ca="1">auditorias!D42</f>
        <v>CERTO</v>
      </c>
      <c r="D28" s="3113" t="str">
        <f ca="1">auditorias!E42</f>
        <v>-</v>
      </c>
      <c r="E28" s="3113"/>
      <c r="F28" s="3113"/>
      <c r="G28" s="3113"/>
      <c r="H28" s="3113"/>
      <c r="I28" s="3113"/>
      <c r="J28" s="3113"/>
      <c r="K28" s="3113"/>
      <c r="L28" s="1716"/>
      <c r="M28" s="863" t="s">
        <v>785</v>
      </c>
    </row>
    <row r="29" spans="2:13" ht="36.6" customHeight="1" x14ac:dyDescent="0.2">
      <c r="B29" s="1713">
        <f t="shared" si="0"/>
        <v>16</v>
      </c>
      <c r="C29" s="1714" t="e">
        <f ca="1">auditorias!D45</f>
        <v>#VALUE!</v>
      </c>
      <c r="D29" s="3113" t="e">
        <f ca="1">auditorias!E45</f>
        <v>#VALUE!</v>
      </c>
      <c r="E29" s="3113"/>
      <c r="F29" s="3113"/>
      <c r="G29" s="3113"/>
      <c r="H29" s="3113"/>
      <c r="I29" s="3113"/>
      <c r="J29" s="3113"/>
      <c r="K29" s="3113"/>
      <c r="L29" s="1716"/>
      <c r="M29" s="863" t="s">
        <v>785</v>
      </c>
    </row>
    <row r="30" spans="2:13" ht="30.6" customHeight="1" x14ac:dyDescent="0.2">
      <c r="B30" s="1713">
        <f t="shared" si="0"/>
        <v>17</v>
      </c>
      <c r="C30" s="1714" t="e">
        <f ca="1">auditorias!D46</f>
        <v>#VALUE!</v>
      </c>
      <c r="D30" s="3113" t="e">
        <f ca="1">auditorias!E46</f>
        <v>#VALUE!</v>
      </c>
      <c r="E30" s="3113"/>
      <c r="F30" s="3113"/>
      <c r="G30" s="3113"/>
      <c r="H30" s="3113"/>
      <c r="I30" s="3113"/>
      <c r="J30" s="3113"/>
      <c r="K30" s="3113"/>
      <c r="L30" s="1716"/>
      <c r="M30" s="863" t="s">
        <v>785</v>
      </c>
    </row>
    <row r="31" spans="2:13" ht="36.6" customHeight="1" x14ac:dyDescent="0.2">
      <c r="B31" s="1713">
        <f t="shared" si="0"/>
        <v>18</v>
      </c>
      <c r="C31" s="1714" t="str">
        <f ca="1">auditorias!D47</f>
        <v>ERRO</v>
      </c>
      <c r="D31" s="3113" t="str">
        <f ca="1">auditorias!E47</f>
        <v>FAÇA AS MESMAS VERIFICAÇÕES FEITAS NO CUSTO OPERACIONAL E DEPRECIAÇÃO.</v>
      </c>
      <c r="E31" s="3113"/>
      <c r="F31" s="3113"/>
      <c r="G31" s="3113"/>
      <c r="H31" s="3113"/>
      <c r="I31" s="3113"/>
      <c r="J31" s="3113"/>
      <c r="K31" s="3113"/>
      <c r="L31" s="1716"/>
      <c r="M31" s="863" t="s">
        <v>785</v>
      </c>
    </row>
    <row r="32" spans="2:13" ht="21" customHeight="1" x14ac:dyDescent="0.2">
      <c r="B32" s="1713">
        <f t="shared" si="0"/>
        <v>19</v>
      </c>
      <c r="C32" s="1714" t="str">
        <f>auditorias!E50</f>
        <v>CERTO</v>
      </c>
      <c r="D32" s="3113" t="str">
        <f>auditorias!F50</f>
        <v>-</v>
      </c>
      <c r="E32" s="3113"/>
      <c r="F32" s="3113"/>
      <c r="G32" s="3113"/>
      <c r="H32" s="3113"/>
      <c r="I32" s="3113"/>
      <c r="J32" s="3113"/>
      <c r="K32" s="3113"/>
      <c r="L32" s="1716"/>
      <c r="M32" s="863" t="s">
        <v>785</v>
      </c>
    </row>
    <row r="33" spans="2:13" x14ac:dyDescent="0.2">
      <c r="B33" s="1713">
        <f t="shared" si="0"/>
        <v>20</v>
      </c>
      <c r="C33" s="1714" t="str">
        <f>auditorias!E51</f>
        <v>CERTO</v>
      </c>
      <c r="D33" s="3113" t="str">
        <f>auditorias!F51</f>
        <v>-</v>
      </c>
      <c r="E33" s="3113"/>
      <c r="F33" s="3113"/>
      <c r="G33" s="3113"/>
      <c r="H33" s="3113"/>
      <c r="I33" s="3113"/>
      <c r="J33" s="3113"/>
      <c r="K33" s="3113"/>
      <c r="L33" s="1716"/>
      <c r="M33" s="863" t="s">
        <v>785</v>
      </c>
    </row>
    <row r="34" spans="2:13" ht="17.45" customHeight="1" x14ac:dyDescent="0.2">
      <c r="B34" s="1713">
        <f t="shared" si="0"/>
        <v>21</v>
      </c>
      <c r="C34" s="1714" t="str">
        <f>auditorias!E52</f>
        <v>CERTO</v>
      </c>
      <c r="D34" s="3113" t="str">
        <f>auditorias!F52</f>
        <v>-</v>
      </c>
      <c r="E34" s="3113"/>
      <c r="F34" s="3113"/>
      <c r="G34" s="3113"/>
      <c r="H34" s="3113"/>
      <c r="I34" s="3113"/>
      <c r="J34" s="3113"/>
      <c r="K34" s="3113"/>
      <c r="L34" s="1716"/>
      <c r="M34" s="863" t="s">
        <v>785</v>
      </c>
    </row>
    <row r="35" spans="2:13" ht="21" customHeight="1" x14ac:dyDescent="0.2">
      <c r="B35" s="1713">
        <f t="shared" si="0"/>
        <v>22</v>
      </c>
      <c r="C35" s="1714" t="str">
        <f>auditorias!E53</f>
        <v>CERTO</v>
      </c>
      <c r="D35" s="3113" t="str">
        <f>auditorias!F53</f>
        <v>-</v>
      </c>
      <c r="E35" s="3113"/>
      <c r="F35" s="3113"/>
      <c r="G35" s="3113"/>
      <c r="H35" s="3113"/>
      <c r="I35" s="3113"/>
      <c r="J35" s="3113"/>
      <c r="K35" s="3113"/>
      <c r="L35" s="1716"/>
      <c r="M35" s="863" t="s">
        <v>785</v>
      </c>
    </row>
    <row r="36" spans="2:13" ht="20.45" customHeight="1" x14ac:dyDescent="0.2">
      <c r="B36" s="1713">
        <f t="shared" si="0"/>
        <v>23</v>
      </c>
      <c r="C36" s="1714" t="str">
        <f>auditorias!E54</f>
        <v>CERTO</v>
      </c>
      <c r="D36" s="3113" t="str">
        <f>auditorias!F54</f>
        <v>-</v>
      </c>
      <c r="E36" s="3113"/>
      <c r="F36" s="3113"/>
      <c r="G36" s="3113"/>
      <c r="H36" s="3113"/>
      <c r="I36" s="3113"/>
      <c r="J36" s="3113"/>
      <c r="K36" s="3113"/>
      <c r="L36" s="1716"/>
      <c r="M36" s="863" t="s">
        <v>785</v>
      </c>
    </row>
    <row r="37" spans="2:13" ht="19.899999999999999" customHeight="1" x14ac:dyDescent="0.2">
      <c r="B37" s="1713">
        <f t="shared" si="0"/>
        <v>24</v>
      </c>
      <c r="C37" s="1714" t="str">
        <f>auditorias!E55</f>
        <v>CERTO</v>
      </c>
      <c r="D37" s="3113" t="str">
        <f>auditorias!F55</f>
        <v>-</v>
      </c>
      <c r="E37" s="3113"/>
      <c r="F37" s="3113"/>
      <c r="G37" s="3113"/>
      <c r="H37" s="3113"/>
      <c r="I37" s="3113"/>
      <c r="J37" s="3113"/>
      <c r="K37" s="3113"/>
      <c r="L37" s="1716"/>
      <c r="M37" s="863" t="s">
        <v>785</v>
      </c>
    </row>
    <row r="38" spans="2:13" ht="24" customHeight="1" x14ac:dyDescent="0.2">
      <c r="B38" s="1713">
        <f t="shared" si="0"/>
        <v>25</v>
      </c>
      <c r="C38" s="1714" t="str">
        <f>auditorias!E56</f>
        <v>CERTO</v>
      </c>
      <c r="D38" s="3113" t="str">
        <f>auditorias!F56</f>
        <v>-</v>
      </c>
      <c r="E38" s="3113"/>
      <c r="F38" s="3113"/>
      <c r="G38" s="3113"/>
      <c r="H38" s="3113"/>
      <c r="I38" s="3113"/>
      <c r="J38" s="3113"/>
      <c r="K38" s="3113"/>
      <c r="L38" s="1716"/>
      <c r="M38" s="863" t="s">
        <v>785</v>
      </c>
    </row>
    <row r="39" spans="2:13" ht="22.15" customHeight="1" x14ac:dyDescent="0.2">
      <c r="B39" s="1713">
        <f t="shared" si="0"/>
        <v>26</v>
      </c>
      <c r="C39" s="1714" t="str">
        <f>auditorias!E57</f>
        <v>CERTO</v>
      </c>
      <c r="D39" s="3113" t="str">
        <f>auditorias!F57</f>
        <v>-</v>
      </c>
      <c r="E39" s="3113"/>
      <c r="F39" s="3113"/>
      <c r="G39" s="3113"/>
      <c r="H39" s="3113"/>
      <c r="I39" s="3113"/>
      <c r="J39" s="3113"/>
      <c r="K39" s="3113"/>
      <c r="L39" s="1716"/>
      <c r="M39" s="863" t="s">
        <v>785</v>
      </c>
    </row>
    <row r="40" spans="2:13" ht="19.899999999999999" customHeight="1" x14ac:dyDescent="0.2">
      <c r="B40" s="1713">
        <f t="shared" si="0"/>
        <v>27</v>
      </c>
      <c r="C40" s="1714" t="str">
        <f>auditorias!E58</f>
        <v>CERTO</v>
      </c>
      <c r="D40" s="3113" t="str">
        <f>auditorias!F58</f>
        <v>-</v>
      </c>
      <c r="E40" s="3113"/>
      <c r="F40" s="3113"/>
      <c r="G40" s="3113"/>
      <c r="H40" s="3113"/>
      <c r="I40" s="3113"/>
      <c r="J40" s="3113"/>
      <c r="K40" s="3113"/>
      <c r="L40" s="1716"/>
      <c r="M40" s="863" t="s">
        <v>785</v>
      </c>
    </row>
    <row r="41" spans="2:13" ht="18.600000000000001" customHeight="1" x14ac:dyDescent="0.2">
      <c r="B41" s="1713">
        <f t="shared" si="0"/>
        <v>28</v>
      </c>
      <c r="C41" s="1714" t="str">
        <f>auditorias!E59</f>
        <v>CERTO</v>
      </c>
      <c r="D41" s="3113" t="str">
        <f>auditorias!F59</f>
        <v>-</v>
      </c>
      <c r="E41" s="3113"/>
      <c r="F41" s="3113"/>
      <c r="G41" s="3113"/>
      <c r="H41" s="3113"/>
      <c r="I41" s="3113"/>
      <c r="J41" s="3113"/>
      <c r="K41" s="3113"/>
      <c r="L41" s="1716"/>
      <c r="M41" s="863" t="s">
        <v>785</v>
      </c>
    </row>
    <row r="42" spans="2:13" ht="19.899999999999999" customHeight="1" x14ac:dyDescent="0.2">
      <c r="B42" s="1713">
        <f t="shared" si="0"/>
        <v>29</v>
      </c>
      <c r="C42" s="1714" t="str">
        <f>auditorias!E60</f>
        <v>CERTO</v>
      </c>
      <c r="D42" s="3113" t="str">
        <f>auditorias!F60</f>
        <v>-</v>
      </c>
      <c r="E42" s="3113"/>
      <c r="F42" s="3113"/>
      <c r="G42" s="3113"/>
      <c r="H42" s="3113"/>
      <c r="I42" s="3113"/>
      <c r="J42" s="3113"/>
      <c r="K42" s="3113"/>
      <c r="L42" s="1716"/>
      <c r="M42" s="863" t="s">
        <v>785</v>
      </c>
    </row>
    <row r="43" spans="2:13" ht="20.45" customHeight="1" x14ac:dyDescent="0.2">
      <c r="B43" s="1713">
        <f t="shared" si="0"/>
        <v>30</v>
      </c>
      <c r="C43" s="1714" t="str">
        <f>auditorias!E61</f>
        <v>CERTO</v>
      </c>
      <c r="D43" s="3113" t="str">
        <f>auditorias!F61</f>
        <v>-</v>
      </c>
      <c r="E43" s="3113"/>
      <c r="F43" s="3113"/>
      <c r="G43" s="3113"/>
      <c r="H43" s="3113"/>
      <c r="I43" s="3113"/>
      <c r="J43" s="3113"/>
      <c r="K43" s="3113"/>
      <c r="L43" s="1716"/>
      <c r="M43" s="863" t="s">
        <v>785</v>
      </c>
    </row>
    <row r="44" spans="2:13" ht="21.6" customHeight="1" x14ac:dyDescent="0.2">
      <c r="B44" s="1713">
        <f t="shared" si="0"/>
        <v>31</v>
      </c>
      <c r="C44" s="1714" t="str">
        <f>auditorias!E62</f>
        <v>CERTO</v>
      </c>
      <c r="D44" s="3113" t="str">
        <f>auditorias!F62</f>
        <v>-</v>
      </c>
      <c r="E44" s="3113"/>
      <c r="F44" s="3113"/>
      <c r="G44" s="3113"/>
      <c r="H44" s="3113"/>
      <c r="I44" s="3113"/>
      <c r="J44" s="3113"/>
      <c r="K44" s="3113"/>
      <c r="L44" s="1716"/>
      <c r="M44" s="863" t="s">
        <v>785</v>
      </c>
    </row>
    <row r="45" spans="2:13" ht="20.45" customHeight="1" x14ac:dyDescent="0.2">
      <c r="B45" s="1713">
        <f t="shared" si="0"/>
        <v>32</v>
      </c>
      <c r="C45" s="1714" t="str">
        <f>auditorias!E63</f>
        <v>CERTO</v>
      </c>
      <c r="D45" s="3113" t="str">
        <f>auditorias!F63</f>
        <v>-</v>
      </c>
      <c r="E45" s="3113"/>
      <c r="F45" s="3113"/>
      <c r="G45" s="3113"/>
      <c r="H45" s="3113"/>
      <c r="I45" s="3113"/>
      <c r="J45" s="3113"/>
      <c r="K45" s="3113"/>
      <c r="L45" s="1716"/>
      <c r="M45" s="863" t="s">
        <v>785</v>
      </c>
    </row>
    <row r="46" spans="2:13" ht="18" customHeight="1" x14ac:dyDescent="0.2">
      <c r="B46" s="1713">
        <f t="shared" si="0"/>
        <v>33</v>
      </c>
      <c r="C46" s="1714" t="str">
        <f>auditorias!E64</f>
        <v>CERTO</v>
      </c>
      <c r="D46" s="3113" t="str">
        <f>auditorias!F64</f>
        <v>-</v>
      </c>
      <c r="E46" s="3113"/>
      <c r="F46" s="3113"/>
      <c r="G46" s="3113"/>
      <c r="H46" s="3113"/>
      <c r="I46" s="3113"/>
      <c r="J46" s="3113"/>
      <c r="K46" s="3113"/>
      <c r="L46" s="1716"/>
      <c r="M46" s="863" t="s">
        <v>785</v>
      </c>
    </row>
    <row r="47" spans="2:13" x14ac:dyDescent="0.2">
      <c r="B47" s="1721">
        <f t="shared" si="0"/>
        <v>34</v>
      </c>
      <c r="C47" s="1722" t="str">
        <f>auditorias!D68</f>
        <v>CERTO</v>
      </c>
      <c r="D47" s="3107" t="str">
        <f>auditorias!E68</f>
        <v>-</v>
      </c>
      <c r="E47" s="3108"/>
      <c r="F47" s="3108"/>
      <c r="G47" s="3108"/>
      <c r="H47" s="3108"/>
      <c r="I47" s="3108"/>
      <c r="J47" s="3108"/>
      <c r="K47" s="3109"/>
      <c r="L47" s="1716"/>
      <c r="M47" s="863" t="s">
        <v>785</v>
      </c>
    </row>
    <row r="48" spans="2:13" x14ac:dyDescent="0.2">
      <c r="B48" s="1721">
        <f t="shared" si="0"/>
        <v>35</v>
      </c>
      <c r="C48" s="1722" t="e">
        <f>auditorias!D69</f>
        <v>#REF!</v>
      </c>
      <c r="D48" s="3107" t="e">
        <f>auditorias!E69</f>
        <v>#REF!</v>
      </c>
      <c r="E48" s="3108"/>
      <c r="F48" s="3108"/>
      <c r="G48" s="3108"/>
      <c r="H48" s="3108"/>
      <c r="I48" s="3108"/>
      <c r="J48" s="3108"/>
      <c r="K48" s="3109"/>
      <c r="L48" s="1716"/>
      <c r="M48" s="863" t="s">
        <v>785</v>
      </c>
    </row>
    <row r="49" spans="2:13" x14ac:dyDescent="0.2">
      <c r="B49" s="1721">
        <f t="shared" si="0"/>
        <v>36</v>
      </c>
      <c r="C49" s="1722" t="str">
        <f>auditorias!D70</f>
        <v>CERTO</v>
      </c>
      <c r="D49" s="3107" t="str">
        <f>auditorias!E70</f>
        <v>-</v>
      </c>
      <c r="E49" s="3108"/>
      <c r="F49" s="3108"/>
      <c r="G49" s="3108"/>
      <c r="H49" s="3108"/>
      <c r="I49" s="3108"/>
      <c r="J49" s="3108"/>
      <c r="K49" s="3109"/>
      <c r="L49" s="1716"/>
      <c r="M49" s="863" t="s">
        <v>785</v>
      </c>
    </row>
    <row r="50" spans="2:13" x14ac:dyDescent="0.2">
      <c r="B50" s="1721">
        <f t="shared" si="0"/>
        <v>37</v>
      </c>
      <c r="C50" s="1722" t="str">
        <f>auditorias!D71</f>
        <v>CERTO</v>
      </c>
      <c r="D50" s="3107" t="str">
        <f>auditorias!E71</f>
        <v>-</v>
      </c>
      <c r="E50" s="3108"/>
      <c r="F50" s="3108"/>
      <c r="G50" s="3108"/>
      <c r="H50" s="3108"/>
      <c r="I50" s="3108"/>
      <c r="J50" s="3108"/>
      <c r="K50" s="3109"/>
      <c r="L50" s="1716"/>
      <c r="M50" s="863" t="s">
        <v>785</v>
      </c>
    </row>
    <row r="51" spans="2:13" x14ac:dyDescent="0.2">
      <c r="B51" s="1721">
        <f t="shared" si="0"/>
        <v>38</v>
      </c>
      <c r="C51" s="1722" t="str">
        <f>auditorias!D72</f>
        <v>CERTO</v>
      </c>
      <c r="D51" s="3107" t="str">
        <f>auditorias!E72</f>
        <v>-</v>
      </c>
      <c r="E51" s="3108"/>
      <c r="F51" s="3108"/>
      <c r="G51" s="3108"/>
      <c r="H51" s="3108"/>
      <c r="I51" s="3108"/>
      <c r="J51" s="3108"/>
      <c r="K51" s="3109"/>
      <c r="L51" s="1716"/>
      <c r="M51" s="863" t="s">
        <v>785</v>
      </c>
    </row>
    <row r="52" spans="2:13" x14ac:dyDescent="0.2">
      <c r="B52" s="1721">
        <f t="shared" si="0"/>
        <v>39</v>
      </c>
      <c r="C52" s="1722" t="str">
        <f>auditorias!D73</f>
        <v>CERTO</v>
      </c>
      <c r="D52" s="3107" t="str">
        <f>auditorias!E73</f>
        <v>-</v>
      </c>
      <c r="E52" s="3108"/>
      <c r="F52" s="3108"/>
      <c r="G52" s="3108"/>
      <c r="H52" s="3108"/>
      <c r="I52" s="3108"/>
      <c r="J52" s="3108"/>
      <c r="K52" s="3109"/>
      <c r="L52" s="1716"/>
      <c r="M52" s="863" t="s">
        <v>785</v>
      </c>
    </row>
    <row r="53" spans="2:13" x14ac:dyDescent="0.2">
      <c r="B53" s="1721">
        <f t="shared" si="0"/>
        <v>40</v>
      </c>
      <c r="C53" s="1722" t="str">
        <f>auditorias!D74</f>
        <v>CERTO</v>
      </c>
      <c r="D53" s="3107" t="str">
        <f>auditorias!E74</f>
        <v>-</v>
      </c>
      <c r="E53" s="3108"/>
      <c r="F53" s="3108"/>
      <c r="G53" s="3108"/>
      <c r="H53" s="3108"/>
      <c r="I53" s="3108"/>
      <c r="J53" s="3108"/>
      <c r="K53" s="3109"/>
      <c r="L53" s="1716"/>
      <c r="M53" s="863" t="s">
        <v>785</v>
      </c>
    </row>
    <row r="54" spans="2:13" x14ac:dyDescent="0.2">
      <c r="B54" s="1721">
        <f t="shared" si="0"/>
        <v>41</v>
      </c>
      <c r="C54" s="1722" t="str">
        <f>auditorias!D75</f>
        <v>CERTO</v>
      </c>
      <c r="D54" s="3107" t="str">
        <f>auditorias!E75</f>
        <v>-</v>
      </c>
      <c r="E54" s="3108"/>
      <c r="F54" s="3108"/>
      <c r="G54" s="3108"/>
      <c r="H54" s="3108"/>
      <c r="I54" s="3108"/>
      <c r="J54" s="3108"/>
      <c r="K54" s="3109"/>
      <c r="L54" s="1716"/>
      <c r="M54" s="863" t="s">
        <v>785</v>
      </c>
    </row>
    <row r="55" spans="2:13" x14ac:dyDescent="0.2">
      <c r="B55" s="1721">
        <f t="shared" si="0"/>
        <v>42</v>
      </c>
      <c r="C55" s="1722" t="str">
        <f>auditorias!D76</f>
        <v>-</v>
      </c>
      <c r="D55" s="3107" t="str">
        <f>auditorias!E76</f>
        <v>-</v>
      </c>
      <c r="E55" s="3108"/>
      <c r="F55" s="3108"/>
      <c r="G55" s="3108"/>
      <c r="H55" s="3108"/>
      <c r="I55" s="3108"/>
      <c r="J55" s="3108"/>
      <c r="K55" s="3109"/>
      <c r="L55" s="1716"/>
      <c r="M55" s="863" t="s">
        <v>785</v>
      </c>
    </row>
    <row r="56" spans="2:13" x14ac:dyDescent="0.2">
      <c r="B56" s="1721">
        <f t="shared" si="0"/>
        <v>43</v>
      </c>
      <c r="C56" s="1722" t="str">
        <f>auditorias!D77</f>
        <v>CERTO</v>
      </c>
      <c r="D56" s="3107" t="str">
        <f>auditorias!E77</f>
        <v>-</v>
      </c>
      <c r="E56" s="3108"/>
      <c r="F56" s="3108"/>
      <c r="G56" s="3108"/>
      <c r="H56" s="3108"/>
      <c r="I56" s="3108"/>
      <c r="J56" s="3108"/>
      <c r="K56" s="3109"/>
      <c r="L56" s="1716"/>
      <c r="M56" s="863" t="s">
        <v>785</v>
      </c>
    </row>
    <row r="57" spans="2:13" ht="19.899999999999999" customHeight="1" x14ac:dyDescent="0.2">
      <c r="B57" s="1721">
        <f t="shared" si="0"/>
        <v>44</v>
      </c>
      <c r="C57" s="1722" t="str">
        <f>auditorias!D78</f>
        <v>CERTO</v>
      </c>
      <c r="D57" s="3107" t="str">
        <f>auditorias!E78</f>
        <v>-</v>
      </c>
      <c r="E57" s="3108"/>
      <c r="F57" s="3108"/>
      <c r="G57" s="3108"/>
      <c r="H57" s="3108"/>
      <c r="I57" s="3108"/>
      <c r="J57" s="3108"/>
      <c r="K57" s="3109"/>
      <c r="L57" s="1716"/>
      <c r="M57" s="863" t="s">
        <v>785</v>
      </c>
    </row>
    <row r="58" spans="2:13" ht="40.9" customHeight="1" x14ac:dyDescent="0.2">
      <c r="B58" s="1713">
        <f t="shared" si="0"/>
        <v>45</v>
      </c>
      <c r="C58" s="1714" t="str">
        <f>auditorias!C81</f>
        <v>-</v>
      </c>
      <c r="D58" s="3133" t="str">
        <f>auditorias!F81</f>
        <v>-</v>
      </c>
      <c r="E58" s="3134"/>
      <c r="F58" s="3134"/>
      <c r="G58" s="3134"/>
      <c r="H58" s="3134"/>
      <c r="I58" s="3134"/>
      <c r="J58" s="3134"/>
      <c r="K58" s="3135"/>
      <c r="L58" s="1716"/>
      <c r="M58" s="863" t="s">
        <v>785</v>
      </c>
    </row>
    <row r="59" spans="2:13" ht="34.9" customHeight="1" x14ac:dyDescent="0.2">
      <c r="B59" s="1713">
        <f t="shared" si="0"/>
        <v>46</v>
      </c>
      <c r="C59" s="1714" t="str">
        <f>auditorias!E87</f>
        <v>CERTO</v>
      </c>
      <c r="D59" s="3113" t="str">
        <f>auditorias!F87</f>
        <v>-</v>
      </c>
      <c r="E59" s="3113"/>
      <c r="F59" s="3113"/>
      <c r="G59" s="3113"/>
      <c r="H59" s="3113"/>
      <c r="I59" s="3113"/>
      <c r="J59" s="3113"/>
      <c r="K59" s="3113"/>
      <c r="L59" s="1716"/>
      <c r="M59" s="863" t="s">
        <v>785</v>
      </c>
    </row>
    <row r="60" spans="2:13" ht="39.6" customHeight="1" x14ac:dyDescent="0.2">
      <c r="B60" s="1713">
        <f t="shared" si="0"/>
        <v>47</v>
      </c>
      <c r="C60" s="1714" t="str">
        <f>auditorias!E88</f>
        <v>CERTO</v>
      </c>
      <c r="D60" s="3113" t="str">
        <f>auditorias!F88</f>
        <v>-</v>
      </c>
      <c r="E60" s="3113"/>
      <c r="F60" s="3113"/>
      <c r="G60" s="3113"/>
      <c r="H60" s="3113"/>
      <c r="I60" s="3113"/>
      <c r="J60" s="3113"/>
      <c r="K60" s="3113"/>
      <c r="L60" s="1716"/>
      <c r="M60" s="863" t="s">
        <v>785</v>
      </c>
    </row>
    <row r="61" spans="2:13" ht="31.15" customHeight="1" x14ac:dyDescent="0.2">
      <c r="B61" s="1713">
        <f t="shared" si="0"/>
        <v>48</v>
      </c>
      <c r="C61" s="1714" t="str">
        <f>auditorias!E89</f>
        <v>CERTO</v>
      </c>
      <c r="D61" s="3113" t="str">
        <f>auditorias!F89</f>
        <v>-</v>
      </c>
      <c r="E61" s="3113"/>
      <c r="F61" s="3113"/>
      <c r="G61" s="3113"/>
      <c r="H61" s="3113"/>
      <c r="I61" s="3113"/>
      <c r="J61" s="3113"/>
      <c r="K61" s="3113"/>
      <c r="L61" s="1716"/>
      <c r="M61" s="863" t="s">
        <v>785</v>
      </c>
    </row>
    <row r="62" spans="2:13" ht="34.15" customHeight="1" x14ac:dyDescent="0.2">
      <c r="B62" s="1713">
        <f t="shared" si="0"/>
        <v>49</v>
      </c>
      <c r="C62" s="1714" t="str">
        <f>auditorias!E90</f>
        <v>CERTO</v>
      </c>
      <c r="D62" s="3113" t="str">
        <f>auditorias!F90</f>
        <v>-</v>
      </c>
      <c r="E62" s="3113"/>
      <c r="F62" s="3113"/>
      <c r="G62" s="3113"/>
      <c r="H62" s="3113"/>
      <c r="I62" s="3113"/>
      <c r="J62" s="3113"/>
      <c r="K62" s="3113"/>
      <c r="L62" s="1716"/>
      <c r="M62" s="863" t="s">
        <v>785</v>
      </c>
    </row>
    <row r="63" spans="2:13" ht="32.450000000000003" customHeight="1" x14ac:dyDescent="0.2">
      <c r="B63" s="1713">
        <f t="shared" si="0"/>
        <v>50</v>
      </c>
      <c r="C63" s="1714" t="str">
        <f>auditorias!E91</f>
        <v>CERTO</v>
      </c>
      <c r="D63" s="3113" t="str">
        <f>auditorias!F91</f>
        <v>-</v>
      </c>
      <c r="E63" s="3113"/>
      <c r="F63" s="3113"/>
      <c r="G63" s="3113"/>
      <c r="H63" s="3113"/>
      <c r="I63" s="3113"/>
      <c r="J63" s="3113"/>
      <c r="K63" s="3113"/>
      <c r="L63" s="1716"/>
      <c r="M63" s="863" t="s">
        <v>785</v>
      </c>
    </row>
    <row r="64" spans="2:13" ht="25.15" customHeight="1" x14ac:dyDescent="0.2">
      <c r="B64" s="1713">
        <f t="shared" si="0"/>
        <v>51</v>
      </c>
      <c r="C64" s="1714" t="str">
        <f>auditorias!E92</f>
        <v>CERTO</v>
      </c>
      <c r="D64" s="3113" t="str">
        <f>auditorias!F92</f>
        <v>-</v>
      </c>
      <c r="E64" s="3113"/>
      <c r="F64" s="3113"/>
      <c r="G64" s="3113"/>
      <c r="H64" s="3113"/>
      <c r="I64" s="3113"/>
      <c r="J64" s="3113"/>
      <c r="K64" s="3113"/>
      <c r="L64" s="1716"/>
      <c r="M64" s="863" t="s">
        <v>785</v>
      </c>
    </row>
    <row r="65" spans="1:13" ht="29.45" customHeight="1" x14ac:dyDescent="0.2">
      <c r="B65" s="1713">
        <f t="shared" si="0"/>
        <v>52</v>
      </c>
      <c r="C65" s="1714" t="str">
        <f>auditorias!E93</f>
        <v>CERTO</v>
      </c>
      <c r="D65" s="3113" t="str">
        <f>auditorias!F93</f>
        <v>-</v>
      </c>
      <c r="E65" s="3113"/>
      <c r="F65" s="3113"/>
      <c r="G65" s="3113"/>
      <c r="H65" s="3113"/>
      <c r="I65" s="3113"/>
      <c r="J65" s="3113"/>
      <c r="K65" s="3113"/>
      <c r="L65" s="1716"/>
      <c r="M65" s="863" t="s">
        <v>785</v>
      </c>
    </row>
    <row r="66" spans="1:13" ht="28.15" customHeight="1" x14ac:dyDescent="0.2">
      <c r="B66" s="1713">
        <f t="shared" si="0"/>
        <v>53</v>
      </c>
      <c r="C66" s="1714" t="str">
        <f>auditorias!E94</f>
        <v>CERTO</v>
      </c>
      <c r="D66" s="3113" t="str">
        <f>auditorias!F94</f>
        <v>-</v>
      </c>
      <c r="E66" s="3113"/>
      <c r="F66" s="3113"/>
      <c r="G66" s="3113"/>
      <c r="H66" s="3113"/>
      <c r="I66" s="3113"/>
      <c r="J66" s="3113"/>
      <c r="K66" s="3113"/>
      <c r="L66" s="1716"/>
      <c r="M66" s="863" t="s">
        <v>785</v>
      </c>
    </row>
    <row r="67" spans="1:13" ht="28.9" customHeight="1" x14ac:dyDescent="0.2">
      <c r="B67" s="1713">
        <f t="shared" si="0"/>
        <v>54</v>
      </c>
      <c r="C67" s="1714" t="str">
        <f>auditorias!E95</f>
        <v>CERTO</v>
      </c>
      <c r="D67" s="3113" t="str">
        <f>auditorias!F95</f>
        <v>-</v>
      </c>
      <c r="E67" s="3113"/>
      <c r="F67" s="3113"/>
      <c r="G67" s="3113"/>
      <c r="H67" s="3113"/>
      <c r="I67" s="3113"/>
      <c r="J67" s="3113"/>
      <c r="K67" s="3113"/>
      <c r="L67" s="1716"/>
      <c r="M67" s="863" t="s">
        <v>785</v>
      </c>
    </row>
    <row r="68" spans="1:13" ht="30.6" customHeight="1" x14ac:dyDescent="0.2">
      <c r="B68" s="1713">
        <f t="shared" si="0"/>
        <v>55</v>
      </c>
      <c r="C68" s="1714" t="str">
        <f>auditorias!E96</f>
        <v>CERTO</v>
      </c>
      <c r="D68" s="3113" t="str">
        <f>auditorias!F96</f>
        <v>-</v>
      </c>
      <c r="E68" s="3113"/>
      <c r="F68" s="3113"/>
      <c r="G68" s="3113"/>
      <c r="H68" s="3113"/>
      <c r="I68" s="3113"/>
      <c r="J68" s="3113"/>
      <c r="K68" s="3113"/>
      <c r="L68" s="1716"/>
      <c r="M68" s="863" t="s">
        <v>785</v>
      </c>
    </row>
    <row r="69" spans="1:13" ht="33.6" customHeight="1" x14ac:dyDescent="0.2">
      <c r="B69" s="1713">
        <f t="shared" si="0"/>
        <v>56</v>
      </c>
      <c r="C69" s="1714" t="str">
        <f>auditorias!E97</f>
        <v>CERTO</v>
      </c>
      <c r="D69" s="3113" t="str">
        <f>auditorias!F97</f>
        <v>-</v>
      </c>
      <c r="E69" s="3113"/>
      <c r="F69" s="3113"/>
      <c r="G69" s="3113"/>
      <c r="H69" s="3113"/>
      <c r="I69" s="3113"/>
      <c r="J69" s="3113"/>
      <c r="K69" s="3113"/>
      <c r="L69" s="1716"/>
      <c r="M69" s="863" t="s">
        <v>785</v>
      </c>
    </row>
    <row r="70" spans="1:13" ht="35.450000000000003" customHeight="1" x14ac:dyDescent="0.2">
      <c r="B70" s="1713">
        <f t="shared" si="0"/>
        <v>57</v>
      </c>
      <c r="C70" s="1714" t="str">
        <f>auditorias!E98</f>
        <v>CERTO</v>
      </c>
      <c r="D70" s="3113" t="str">
        <f>auditorias!F98</f>
        <v>-</v>
      </c>
      <c r="E70" s="3113"/>
      <c r="F70" s="3113"/>
      <c r="G70" s="3113"/>
      <c r="H70" s="3113"/>
      <c r="I70" s="3113"/>
      <c r="J70" s="3113"/>
      <c r="K70" s="3113"/>
      <c r="L70" s="1716"/>
      <c r="M70" s="863" t="s">
        <v>785</v>
      </c>
    </row>
    <row r="71" spans="1:13" ht="32.450000000000003" customHeight="1" x14ac:dyDescent="0.2">
      <c r="B71" s="1713">
        <f t="shared" si="0"/>
        <v>58</v>
      </c>
      <c r="C71" s="1714" t="str">
        <f>auditorias!E99</f>
        <v>CERTO</v>
      </c>
      <c r="D71" s="3113" t="str">
        <f>auditorias!F99</f>
        <v>-</v>
      </c>
      <c r="E71" s="3113"/>
      <c r="F71" s="3113"/>
      <c r="G71" s="3113"/>
      <c r="H71" s="3113"/>
      <c r="I71" s="3113"/>
      <c r="J71" s="3113"/>
      <c r="K71" s="3113"/>
      <c r="L71" s="1716"/>
      <c r="M71" s="863" t="s">
        <v>785</v>
      </c>
    </row>
    <row r="72" spans="1:13" ht="34.15" customHeight="1" x14ac:dyDescent="0.2">
      <c r="B72" s="1713">
        <f t="shared" si="0"/>
        <v>59</v>
      </c>
      <c r="C72" s="1714" t="str">
        <f>auditorias!E100</f>
        <v>CERTO</v>
      </c>
      <c r="D72" s="3113" t="str">
        <f>auditorias!F100</f>
        <v>-</v>
      </c>
      <c r="E72" s="3113"/>
      <c r="F72" s="3113"/>
      <c r="G72" s="3113"/>
      <c r="H72" s="3113"/>
      <c r="I72" s="3113"/>
      <c r="J72" s="3113"/>
      <c r="K72" s="3113"/>
      <c r="L72" s="1716"/>
      <c r="M72" s="863" t="s">
        <v>785</v>
      </c>
    </row>
    <row r="73" spans="1:13" ht="28.9" customHeight="1" thickBot="1" x14ac:dyDescent="0.25">
      <c r="B73" s="1718">
        <f t="shared" si="0"/>
        <v>60</v>
      </c>
      <c r="C73" s="1719" t="str">
        <f>auditorias!E101</f>
        <v>CERTO</v>
      </c>
      <c r="D73" s="3127" t="str">
        <f>auditorias!F101</f>
        <v>-</v>
      </c>
      <c r="E73" s="3128"/>
      <c r="F73" s="3128"/>
      <c r="G73" s="3128"/>
      <c r="H73" s="3128"/>
      <c r="I73" s="3128"/>
      <c r="J73" s="3128"/>
      <c r="K73" s="3129"/>
      <c r="L73" s="1720"/>
      <c r="M73" s="863" t="s">
        <v>785</v>
      </c>
    </row>
    <row r="74" spans="1:13" x14ac:dyDescent="0.2">
      <c r="M74" s="863" t="s">
        <v>785</v>
      </c>
    </row>
    <row r="75" spans="1:13" x14ac:dyDescent="0.2">
      <c r="A75" s="863"/>
      <c r="C75" s="22">
        <f ca="1">COUNTIF(C14:C73,"erro")</f>
        <v>3</v>
      </c>
      <c r="M75" s="863" t="s">
        <v>785</v>
      </c>
    </row>
    <row r="76" spans="1:13" x14ac:dyDescent="0.2">
      <c r="A76" s="1757"/>
      <c r="B76" s="1757"/>
      <c r="C76" s="1757"/>
      <c r="D76" s="1757"/>
      <c r="E76" s="1757"/>
      <c r="F76" s="1757"/>
      <c r="G76" s="1757"/>
      <c r="H76" s="1757"/>
      <c r="I76" s="1757"/>
      <c r="J76" s="1757"/>
      <c r="K76" s="1757"/>
      <c r="L76" s="1757"/>
      <c r="M76" s="863" t="s">
        <v>785</v>
      </c>
    </row>
    <row r="77" spans="1:13" x14ac:dyDescent="0.2">
      <c r="A77" s="1757"/>
      <c r="B77" s="1757"/>
      <c r="C77" s="1757"/>
      <c r="D77" s="1757"/>
      <c r="E77" s="1757"/>
      <c r="F77" s="1757"/>
      <c r="G77" s="1757"/>
      <c r="H77" s="1757"/>
      <c r="I77" s="1757"/>
      <c r="J77" s="1757"/>
      <c r="K77" s="1757"/>
      <c r="L77" s="1757"/>
      <c r="M77" s="863" t="s">
        <v>785</v>
      </c>
    </row>
    <row r="78" spans="1:13" x14ac:dyDescent="0.2">
      <c r="A78" s="1757"/>
      <c r="B78" s="863" t="s">
        <v>785</v>
      </c>
      <c r="C78" s="863" t="s">
        <v>785</v>
      </c>
      <c r="D78" s="863" t="s">
        <v>785</v>
      </c>
      <c r="E78" s="863" t="s">
        <v>785</v>
      </c>
      <c r="F78" s="863" t="s">
        <v>785</v>
      </c>
      <c r="G78" s="863" t="s">
        <v>785</v>
      </c>
      <c r="H78" s="863" t="s">
        <v>785</v>
      </c>
      <c r="I78" s="1757"/>
      <c r="J78" s="863" t="s">
        <v>785</v>
      </c>
      <c r="K78" s="1757"/>
      <c r="L78" s="863" t="s">
        <v>785</v>
      </c>
      <c r="M78" s="863" t="s">
        <v>785</v>
      </c>
    </row>
    <row r="79" spans="1:13" x14ac:dyDescent="0.2">
      <c r="A79" s="1757"/>
      <c r="B79" s="863" t="s">
        <v>785</v>
      </c>
      <c r="C79" s="863" t="s">
        <v>785</v>
      </c>
      <c r="D79" s="863" t="s">
        <v>785</v>
      </c>
      <c r="E79" s="863" t="s">
        <v>785</v>
      </c>
      <c r="F79" s="863" t="s">
        <v>785</v>
      </c>
      <c r="G79" s="863" t="s">
        <v>785</v>
      </c>
      <c r="H79" s="863" t="s">
        <v>785</v>
      </c>
      <c r="I79" s="1757"/>
      <c r="J79" s="863" t="s">
        <v>785</v>
      </c>
      <c r="K79" s="1757"/>
      <c r="L79" s="863" t="s">
        <v>785</v>
      </c>
      <c r="M79" s="863" t="s">
        <v>785</v>
      </c>
    </row>
    <row r="80" spans="1:13" x14ac:dyDescent="0.2">
      <c r="A80" s="1757"/>
      <c r="B80" s="863" t="s">
        <v>785</v>
      </c>
      <c r="C80" s="863" t="s">
        <v>785</v>
      </c>
      <c r="D80" s="863" t="s">
        <v>785</v>
      </c>
      <c r="E80" s="863" t="s">
        <v>785</v>
      </c>
      <c r="F80" s="863" t="s">
        <v>785</v>
      </c>
      <c r="G80" s="863" t="s">
        <v>785</v>
      </c>
      <c r="H80" s="863" t="s">
        <v>785</v>
      </c>
      <c r="I80" s="1757"/>
      <c r="J80" s="863" t="s">
        <v>785</v>
      </c>
      <c r="K80" s="1757"/>
      <c r="L80" s="863" t="s">
        <v>785</v>
      </c>
      <c r="M80" s="863" t="s">
        <v>785</v>
      </c>
    </row>
    <row r="81" spans="1:12" x14ac:dyDescent="0.2">
      <c r="A81" s="1757"/>
      <c r="B81" s="863" t="s">
        <v>785</v>
      </c>
      <c r="C81" s="863" t="s">
        <v>785</v>
      </c>
      <c r="D81" s="863" t="s">
        <v>785</v>
      </c>
      <c r="E81" s="863" t="s">
        <v>785</v>
      </c>
      <c r="F81" s="863" t="s">
        <v>785</v>
      </c>
      <c r="G81" s="863" t="s">
        <v>785</v>
      </c>
      <c r="H81" s="863" t="s">
        <v>785</v>
      </c>
      <c r="I81" s="1757"/>
      <c r="J81" s="863" t="s">
        <v>785</v>
      </c>
      <c r="K81" s="1757"/>
      <c r="L81" s="863" t="s">
        <v>785</v>
      </c>
    </row>
    <row r="177" spans="3:3" ht="13.5" thickBot="1" x14ac:dyDescent="0.25"/>
    <row r="178" spans="3:3" ht="13.5" thickBot="1" x14ac:dyDescent="0.25">
      <c r="C178" s="992"/>
    </row>
  </sheetData>
  <sheetProtection password="85A7" sheet="1" objects="1" scenarios="1"/>
  <mergeCells count="78">
    <mergeCell ref="D39:K39"/>
    <mergeCell ref="D34:K34"/>
    <mergeCell ref="D35:K35"/>
    <mergeCell ref="D33:K33"/>
    <mergeCell ref="D36:K36"/>
    <mergeCell ref="D37:K37"/>
    <mergeCell ref="D38:K38"/>
    <mergeCell ref="D15:K15"/>
    <mergeCell ref="D31:K31"/>
    <mergeCell ref="D26:K26"/>
    <mergeCell ref="D27:K27"/>
    <mergeCell ref="D28:K28"/>
    <mergeCell ref="D17:K17"/>
    <mergeCell ref="D18:K18"/>
    <mergeCell ref="D19:K19"/>
    <mergeCell ref="D22:K22"/>
    <mergeCell ref="D23:K23"/>
    <mergeCell ref="D24:K24"/>
    <mergeCell ref="D25:K25"/>
    <mergeCell ref="D53:K53"/>
    <mergeCell ref="D54:K54"/>
    <mergeCell ref="D55:K55"/>
    <mergeCell ref="D44:K44"/>
    <mergeCell ref="D45:K45"/>
    <mergeCell ref="D46:K46"/>
    <mergeCell ref="D48:K48"/>
    <mergeCell ref="D56:K56"/>
    <mergeCell ref="D57:K57"/>
    <mergeCell ref="D58:K58"/>
    <mergeCell ref="D68:K68"/>
    <mergeCell ref="D59:K59"/>
    <mergeCell ref="D60:K60"/>
    <mergeCell ref="D61:K61"/>
    <mergeCell ref="D62:K62"/>
    <mergeCell ref="D69:K69"/>
    <mergeCell ref="D70:K70"/>
    <mergeCell ref="D63:K63"/>
    <mergeCell ref="D64:K64"/>
    <mergeCell ref="D65:K65"/>
    <mergeCell ref="D66:K66"/>
    <mergeCell ref="D71:K71"/>
    <mergeCell ref="D72:K72"/>
    <mergeCell ref="D73:K73"/>
    <mergeCell ref="B3:D3"/>
    <mergeCell ref="F3:G3"/>
    <mergeCell ref="D49:K49"/>
    <mergeCell ref="D50:K50"/>
    <mergeCell ref="D51:K51"/>
    <mergeCell ref="D52:K52"/>
    <mergeCell ref="D67:K67"/>
    <mergeCell ref="H7:J7"/>
    <mergeCell ref="D40:K40"/>
    <mergeCell ref="D41:K41"/>
    <mergeCell ref="D30:K30"/>
    <mergeCell ref="D20:K20"/>
    <mergeCell ref="D21:K21"/>
    <mergeCell ref="D13:K13"/>
    <mergeCell ref="D47:K47"/>
    <mergeCell ref="H3:L3"/>
    <mergeCell ref="D29:K29"/>
    <mergeCell ref="D32:K32"/>
    <mergeCell ref="H9:J9"/>
    <mergeCell ref="D42:K42"/>
    <mergeCell ref="D43:K43"/>
    <mergeCell ref="B5:L5"/>
    <mergeCell ref="B11:L11"/>
    <mergeCell ref="B8:C8"/>
    <mergeCell ref="B9:C9"/>
    <mergeCell ref="B10:C10"/>
    <mergeCell ref="D8:E8"/>
    <mergeCell ref="D14:K14"/>
    <mergeCell ref="D16:K16"/>
    <mergeCell ref="D9:E9"/>
    <mergeCell ref="D10:E10"/>
    <mergeCell ref="H8:J8"/>
    <mergeCell ref="H10:J10"/>
    <mergeCell ref="B2:L2"/>
    <mergeCell ref="B7:E7"/>
  </mergeCells>
  <phoneticPr fontId="93" type="noConversion"/>
  <pageMargins left="0.78740157499999996" right="0.78740157499999996" top="0.984251969" bottom="0.984251969" header="0.49212598499999999" footer="0.49212598499999999"/>
  <pageSetup paperSize="9" scale="56" orientation="portrait" r:id="rId1"/>
  <headerFooter alignWithMargins="0"/>
  <rowBreaks count="1" manualBreakCount="1">
    <brk id="40" min="1"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7"/>
  <dimension ref="A1:AC103"/>
  <sheetViews>
    <sheetView zoomScale="85" zoomScaleNormal="85" zoomScaleSheetLayoutView="100" workbookViewId="0">
      <selection activeCell="D13" sqref="D13"/>
    </sheetView>
  </sheetViews>
  <sheetFormatPr defaultRowHeight="15" x14ac:dyDescent="0.2"/>
  <cols>
    <col min="1" max="1" width="23.7109375" style="14" customWidth="1"/>
    <col min="2" max="2" width="22.5703125" style="14" customWidth="1"/>
    <col min="3" max="3" width="18" style="14" customWidth="1"/>
    <col min="4" max="4" width="19.85546875" style="14" customWidth="1"/>
    <col min="5" max="5" width="17" style="14" customWidth="1"/>
    <col min="6" max="6" width="19.28515625" style="14" customWidth="1"/>
    <col min="7" max="7" width="21" style="119" customWidth="1"/>
    <col min="8" max="8" width="18.85546875" style="119" customWidth="1"/>
    <col min="9" max="9" width="17.5703125" style="119" customWidth="1"/>
    <col min="10" max="10" width="14.42578125" style="14" customWidth="1"/>
    <col min="11" max="16384" width="9.140625" style="14"/>
  </cols>
  <sheetData>
    <row r="1" spans="1:29" ht="15.75" thickBot="1" x14ac:dyDescent="0.25">
      <c r="A1" s="610" t="str">
        <f>CADASTRO!C4</f>
        <v>Digitar o nome</v>
      </c>
      <c r="B1" s="610">
        <f>CADASTRO!C12</f>
        <v>44013</v>
      </c>
      <c r="G1" s="119" t="s">
        <v>56</v>
      </c>
      <c r="J1" s="1"/>
      <c r="K1" s="1"/>
      <c r="L1" s="1"/>
      <c r="M1" s="1"/>
      <c r="N1" s="1"/>
      <c r="O1" s="1"/>
      <c r="P1" s="1"/>
      <c r="Q1" s="1"/>
      <c r="R1" s="1"/>
      <c r="S1" s="1"/>
      <c r="T1" s="1"/>
      <c r="U1" s="1"/>
      <c r="V1" s="1"/>
      <c r="W1" s="1"/>
      <c r="X1" s="1"/>
      <c r="Y1" s="1"/>
      <c r="Z1" s="1"/>
      <c r="AA1" s="1"/>
      <c r="AB1" s="1"/>
      <c r="AC1" s="1"/>
    </row>
    <row r="2" spans="1:29" ht="15" customHeight="1" thickBot="1" x14ac:dyDescent="0.35">
      <c r="A2" s="3136" t="s">
        <v>216</v>
      </c>
      <c r="B2" s="3137"/>
      <c r="C2" s="3137"/>
      <c r="D2" s="3137"/>
      <c r="E2" s="3137"/>
      <c r="F2" s="3138"/>
      <c r="G2" s="184" t="s">
        <v>56</v>
      </c>
      <c r="H2" s="589"/>
      <c r="I2" s="589"/>
      <c r="J2" s="1"/>
      <c r="K2" s="1"/>
      <c r="L2" s="1"/>
      <c r="M2" s="1"/>
      <c r="N2" s="1"/>
      <c r="O2" s="1"/>
      <c r="P2" s="1"/>
      <c r="Q2" s="1"/>
      <c r="R2" s="1"/>
      <c r="S2" s="1"/>
      <c r="T2" s="1"/>
      <c r="U2" s="1"/>
      <c r="V2" s="1"/>
      <c r="W2" s="1"/>
      <c r="X2" s="1"/>
      <c r="Y2" s="1"/>
      <c r="Z2" s="1"/>
      <c r="AA2" s="1"/>
      <c r="AB2" s="1"/>
      <c r="AC2" s="1"/>
    </row>
    <row r="3" spans="1:29" ht="16.5" thickBot="1" x14ac:dyDescent="0.3">
      <c r="B3" s="83"/>
      <c r="C3" s="172"/>
      <c r="D3" s="172"/>
      <c r="E3" s="172"/>
      <c r="F3" s="172"/>
      <c r="G3" s="184" t="s">
        <v>56</v>
      </c>
      <c r="J3" s="1"/>
      <c r="K3" s="1"/>
      <c r="L3" s="1"/>
      <c r="M3" s="1"/>
      <c r="N3" s="1"/>
      <c r="O3" s="1"/>
      <c r="P3" s="1"/>
      <c r="Q3" s="1"/>
      <c r="R3" s="1"/>
      <c r="S3" s="1"/>
      <c r="T3" s="1"/>
      <c r="U3" s="1"/>
      <c r="V3" s="1"/>
      <c r="W3" s="1"/>
      <c r="X3" s="1"/>
      <c r="Y3" s="1"/>
      <c r="Z3" s="1"/>
      <c r="AA3" s="1"/>
      <c r="AB3" s="1"/>
      <c r="AC3" s="1"/>
    </row>
    <row r="4" spans="1:29" ht="22.5" customHeight="1" thickBot="1" x14ac:dyDescent="0.3">
      <c r="A4" s="3146" t="str">
        <f>PRODUÇÃO!B82</f>
        <v>SUINOS</v>
      </c>
      <c r="B4" s="3147"/>
      <c r="C4" s="3148"/>
      <c r="D4" s="3147"/>
      <c r="E4" s="3148"/>
      <c r="F4" s="3149"/>
      <c r="G4" s="184" t="s">
        <v>56</v>
      </c>
      <c r="H4" s="589"/>
      <c r="I4" s="589"/>
      <c r="J4" s="1"/>
      <c r="K4" s="1"/>
      <c r="L4" s="1"/>
      <c r="M4" s="1"/>
      <c r="N4" s="1"/>
      <c r="O4" s="1"/>
      <c r="P4" s="1"/>
      <c r="Q4" s="1"/>
      <c r="R4" s="1"/>
      <c r="S4" s="1"/>
      <c r="T4" s="1"/>
      <c r="U4" s="1"/>
      <c r="V4" s="1"/>
      <c r="W4" s="1"/>
      <c r="X4" s="1"/>
      <c r="Y4" s="1"/>
      <c r="Z4" s="1"/>
      <c r="AA4" s="1"/>
      <c r="AB4" s="1"/>
      <c r="AC4" s="1"/>
    </row>
    <row r="5" spans="1:29" ht="48" thickBot="1" x14ac:dyDescent="0.3">
      <c r="A5" s="2"/>
      <c r="B5" s="173" t="s">
        <v>589</v>
      </c>
      <c r="C5" s="330" t="s">
        <v>590</v>
      </c>
      <c r="D5" s="1017" t="s">
        <v>591</v>
      </c>
      <c r="E5" s="1019" t="s">
        <v>58</v>
      </c>
      <c r="F5" s="1018" t="s">
        <v>592</v>
      </c>
      <c r="G5" s="184" t="s">
        <v>56</v>
      </c>
      <c r="H5" s="589"/>
      <c r="I5" s="589"/>
      <c r="J5" s="24"/>
      <c r="K5" s="1"/>
      <c r="L5" s="1"/>
      <c r="M5" s="1"/>
      <c r="N5" s="1"/>
      <c r="O5" s="1"/>
      <c r="P5" s="1"/>
      <c r="Q5" s="1"/>
      <c r="R5" s="1"/>
      <c r="S5" s="1"/>
      <c r="T5" s="1"/>
      <c r="U5" s="1"/>
      <c r="V5" s="1"/>
      <c r="W5" s="1"/>
      <c r="X5" s="1"/>
      <c r="Y5" s="1"/>
      <c r="Z5" s="1"/>
      <c r="AA5" s="1"/>
      <c r="AB5" s="1"/>
      <c r="AC5" s="1"/>
    </row>
    <row r="6" spans="1:29" ht="20.25" customHeight="1" thickBot="1" x14ac:dyDescent="0.3">
      <c r="A6" s="3139" t="s">
        <v>132</v>
      </c>
      <c r="B6" s="84" t="str">
        <f>PRODUÇÃO!B9</f>
        <v/>
      </c>
      <c r="C6" s="1016">
        <f>'DESPESAS (Gado)'!G7</f>
        <v>0</v>
      </c>
      <c r="D6" s="201"/>
      <c r="E6" s="1015" t="str">
        <f>IF(D6&gt;C6,"ERRO utilizado não pode ser maior estoque","certo")</f>
        <v>certo</v>
      </c>
      <c r="F6" s="1020">
        <f>C6-D6</f>
        <v>0</v>
      </c>
      <c r="G6" s="184" t="s">
        <v>56</v>
      </c>
      <c r="H6" s="589"/>
      <c r="I6" s="589"/>
      <c r="J6" s="24"/>
      <c r="K6" s="1"/>
      <c r="L6" s="1"/>
      <c r="M6" s="1"/>
      <c r="N6" s="1"/>
      <c r="O6" s="1"/>
      <c r="P6" s="1"/>
      <c r="Q6" s="1"/>
      <c r="R6" s="1"/>
      <c r="S6" s="1"/>
      <c r="T6" s="1"/>
      <c r="U6" s="1"/>
      <c r="V6" s="1"/>
      <c r="W6" s="1"/>
      <c r="X6" s="1"/>
      <c r="Y6" s="1"/>
      <c r="Z6" s="1"/>
      <c r="AA6" s="1"/>
      <c r="AB6" s="1"/>
      <c r="AC6" s="1"/>
    </row>
    <row r="7" spans="1:29" ht="20.25" customHeight="1" thickBot="1" x14ac:dyDescent="0.3">
      <c r="A7" s="2842"/>
      <c r="B7" s="85" t="str">
        <f>PRODUÇÃO!B10</f>
        <v/>
      </c>
      <c r="C7" s="1016">
        <f>'DESPESAS (Gado)'!G8</f>
        <v>0</v>
      </c>
      <c r="D7" s="167"/>
      <c r="E7" s="1015" t="str">
        <f>IF(D7&gt;C7,"ERRO utilizado não pode ser maior estoque","certo")</f>
        <v>certo</v>
      </c>
      <c r="F7" s="1020">
        <f>C7-D7</f>
        <v>0</v>
      </c>
      <c r="G7" s="184" t="s">
        <v>56</v>
      </c>
      <c r="H7" s="589"/>
      <c r="I7" s="589"/>
      <c r="J7" s="24"/>
      <c r="K7" s="1"/>
      <c r="L7" s="1"/>
      <c r="M7" s="1"/>
      <c r="N7" s="1"/>
      <c r="O7" s="1"/>
      <c r="P7" s="1"/>
      <c r="Q7" s="1"/>
      <c r="R7" s="1"/>
      <c r="S7" s="1"/>
      <c r="T7" s="1"/>
      <c r="U7" s="1"/>
      <c r="V7" s="1"/>
      <c r="W7" s="1"/>
      <c r="X7" s="1"/>
      <c r="Y7" s="1"/>
      <c r="Z7" s="1"/>
      <c r="AA7" s="1"/>
      <c r="AB7" s="1"/>
      <c r="AC7" s="1"/>
    </row>
    <row r="8" spans="1:29" ht="18.75" customHeight="1" thickBot="1" x14ac:dyDescent="0.3">
      <c r="A8" s="2842"/>
      <c r="B8" s="85" t="str">
        <f>PRODUÇÃO!B11</f>
        <v/>
      </c>
      <c r="C8" s="1016">
        <f>'DESPESAS (Gado)'!G9</f>
        <v>0</v>
      </c>
      <c r="D8" s="167"/>
      <c r="E8" s="1015" t="str">
        <f>IF(D8&gt;C8,"ERRO utilizado não pode ser maior estoque","certo")</f>
        <v>certo</v>
      </c>
      <c r="F8" s="1020">
        <f>C8-D8</f>
        <v>0</v>
      </c>
      <c r="G8" s="184" t="s">
        <v>56</v>
      </c>
      <c r="H8" s="589"/>
      <c r="I8" s="589"/>
      <c r="J8" s="24"/>
      <c r="K8" s="1"/>
      <c r="L8" s="1"/>
      <c r="M8" s="1"/>
      <c r="N8" s="1"/>
      <c r="O8" s="1"/>
      <c r="P8" s="1"/>
      <c r="Q8" s="1"/>
      <c r="R8" s="1"/>
      <c r="S8" s="1"/>
      <c r="T8" s="1"/>
      <c r="U8" s="1"/>
      <c r="V8" s="1"/>
      <c r="W8" s="1"/>
      <c r="X8" s="1"/>
      <c r="Y8" s="1"/>
      <c r="Z8" s="1"/>
      <c r="AA8" s="1"/>
      <c r="AB8" s="1"/>
      <c r="AC8" s="1"/>
    </row>
    <row r="9" spans="1:29" ht="19.5" customHeight="1" thickBot="1" x14ac:dyDescent="0.3">
      <c r="A9" s="2842"/>
      <c r="B9" s="85" t="str">
        <f>PRODUÇÃO!B12</f>
        <v/>
      </c>
      <c r="C9" s="1016">
        <f>'DESPESAS (Gado)'!G10</f>
        <v>0</v>
      </c>
      <c r="D9" s="167"/>
      <c r="E9" s="1015" t="str">
        <f>IF(D9&gt;C9,"ERRO utilizado não pode ser maior estoque","certo")</f>
        <v>certo</v>
      </c>
      <c r="F9" s="1020">
        <f>C9-D9</f>
        <v>0</v>
      </c>
      <c r="G9" s="184" t="s">
        <v>56</v>
      </c>
      <c r="H9" s="589"/>
      <c r="I9" s="589"/>
      <c r="J9" s="24"/>
      <c r="K9" s="1"/>
      <c r="L9" s="1"/>
      <c r="M9" s="1"/>
      <c r="N9" s="1"/>
      <c r="O9" s="1"/>
      <c r="P9" s="1"/>
      <c r="Q9" s="1"/>
      <c r="R9" s="1"/>
      <c r="S9" s="1"/>
      <c r="T9" s="1"/>
      <c r="U9" s="1"/>
      <c r="V9" s="1"/>
      <c r="W9" s="1"/>
      <c r="X9" s="1"/>
      <c r="Y9" s="1"/>
      <c r="Z9" s="1"/>
      <c r="AA9" s="1"/>
      <c r="AB9" s="1"/>
      <c r="AC9" s="1"/>
    </row>
    <row r="10" spans="1:29" ht="21" customHeight="1" thickBot="1" x14ac:dyDescent="0.3">
      <c r="A10" s="2842"/>
      <c r="B10" s="87" t="str">
        <f>PRODUÇÃO!B13</f>
        <v/>
      </c>
      <c r="C10" s="1016">
        <f>'DESPESAS (Gado)'!G11</f>
        <v>0</v>
      </c>
      <c r="D10" s="168"/>
      <c r="E10" s="1015" t="str">
        <f>IF(D10&gt;C10,"ERRO utilizado não pode ser maior estoque","certo")</f>
        <v>certo</v>
      </c>
      <c r="F10" s="1020">
        <f>C10-D10</f>
        <v>0</v>
      </c>
      <c r="G10" s="184" t="s">
        <v>56</v>
      </c>
      <c r="H10" s="589"/>
      <c r="I10" s="589"/>
      <c r="J10" s="24"/>
      <c r="K10" s="1"/>
      <c r="L10" s="1"/>
      <c r="M10" s="1"/>
      <c r="N10" s="1"/>
      <c r="O10" s="1"/>
      <c r="P10" s="1"/>
      <c r="Q10" s="1"/>
      <c r="R10" s="1"/>
      <c r="S10" s="1"/>
      <c r="T10" s="1"/>
      <c r="U10" s="1"/>
      <c r="V10" s="1"/>
      <c r="W10" s="1"/>
      <c r="X10" s="1"/>
      <c r="Y10" s="1"/>
      <c r="Z10" s="1"/>
      <c r="AA10" s="1"/>
      <c r="AB10" s="1"/>
      <c r="AC10" s="1"/>
    </row>
    <row r="11" spans="1:29" ht="23.25" customHeight="1" thickBot="1" x14ac:dyDescent="0.25">
      <c r="A11" s="1207"/>
      <c r="B11" s="1208"/>
      <c r="C11" s="1208"/>
      <c r="D11" s="174">
        <f>SUM(D6:D10)</f>
        <v>0</v>
      </c>
      <c r="E11" s="28"/>
      <c r="F11" s="175"/>
      <c r="G11" s="184" t="s">
        <v>56</v>
      </c>
      <c r="H11" s="589"/>
      <c r="I11" s="589"/>
      <c r="J11" s="24"/>
      <c r="K11" s="1"/>
      <c r="L11" s="1"/>
      <c r="M11" s="1"/>
      <c r="N11" s="1"/>
      <c r="O11" s="1"/>
      <c r="P11" s="1"/>
      <c r="Q11" s="1"/>
      <c r="R11" s="1"/>
      <c r="S11" s="1"/>
      <c r="T11" s="1"/>
      <c r="U11" s="1"/>
      <c r="V11" s="1"/>
      <c r="W11" s="1"/>
      <c r="X11" s="1"/>
      <c r="Y11" s="1"/>
      <c r="Z11" s="1"/>
      <c r="AA11" s="1"/>
      <c r="AB11" s="1"/>
      <c r="AC11" s="1"/>
    </row>
    <row r="12" spans="1:29" ht="23.25" customHeight="1" thickBot="1" x14ac:dyDescent="0.25">
      <c r="A12" s="544"/>
      <c r="B12" s="25"/>
      <c r="C12" s="25"/>
      <c r="D12" s="25"/>
      <c r="E12" s="25"/>
      <c r="F12" s="546"/>
      <c r="G12" s="184" t="s">
        <v>56</v>
      </c>
      <c r="H12" s="589"/>
      <c r="I12" s="589"/>
      <c r="J12" s="24"/>
      <c r="K12" s="1"/>
      <c r="L12" s="1"/>
      <c r="M12" s="1"/>
      <c r="N12" s="1"/>
      <c r="O12" s="1"/>
      <c r="P12" s="1"/>
      <c r="Q12" s="1"/>
      <c r="R12" s="1"/>
      <c r="S12" s="1"/>
      <c r="T12" s="1"/>
      <c r="U12" s="1"/>
      <c r="V12" s="1"/>
      <c r="W12" s="1"/>
      <c r="X12" s="1"/>
      <c r="Y12" s="1"/>
      <c r="Z12" s="1"/>
      <c r="AA12" s="1"/>
      <c r="AB12" s="1"/>
      <c r="AC12" s="1"/>
    </row>
    <row r="13" spans="1:29" ht="31.5" x14ac:dyDescent="0.25">
      <c r="A13" s="3139" t="s">
        <v>138</v>
      </c>
      <c r="B13" s="72" t="s">
        <v>135</v>
      </c>
      <c r="C13" s="73" t="s">
        <v>133</v>
      </c>
      <c r="D13" s="73" t="s">
        <v>136</v>
      </c>
      <c r="E13" s="75" t="s">
        <v>134</v>
      </c>
      <c r="F13" s="1209"/>
      <c r="G13" s="184" t="s">
        <v>56</v>
      </c>
      <c r="I13" s="589"/>
      <c r="J13" s="24"/>
      <c r="K13" s="1"/>
      <c r="L13" s="1"/>
      <c r="M13" s="1"/>
      <c r="N13" s="1"/>
      <c r="O13" s="1"/>
      <c r="P13" s="1"/>
      <c r="Q13" s="1"/>
      <c r="R13" s="1"/>
      <c r="S13" s="1"/>
      <c r="T13" s="1"/>
      <c r="U13" s="1"/>
      <c r="V13" s="1"/>
      <c r="W13" s="1"/>
      <c r="X13" s="1"/>
      <c r="Y13" s="1"/>
      <c r="Z13" s="1"/>
      <c r="AA13" s="1"/>
      <c r="AB13" s="1"/>
      <c r="AC13" s="1"/>
    </row>
    <row r="14" spans="1:29" x14ac:dyDescent="0.2">
      <c r="A14" s="2842"/>
      <c r="B14" s="76"/>
      <c r="C14" s="77"/>
      <c r="D14" s="62"/>
      <c r="E14" s="89">
        <f>C14*D14</f>
        <v>0</v>
      </c>
      <c r="F14" s="4"/>
      <c r="G14" s="184" t="s">
        <v>56</v>
      </c>
      <c r="J14" s="1"/>
      <c r="K14" s="1"/>
      <c r="L14" s="1"/>
      <c r="M14" s="1"/>
      <c r="N14" s="1"/>
      <c r="O14" s="1"/>
      <c r="P14" s="1"/>
      <c r="Q14" s="1"/>
      <c r="R14" s="1"/>
      <c r="S14" s="1"/>
      <c r="T14" s="1"/>
      <c r="U14" s="1"/>
      <c r="V14" s="1"/>
      <c r="W14" s="1"/>
      <c r="X14" s="1"/>
      <c r="Y14" s="1"/>
      <c r="Z14" s="1"/>
      <c r="AA14" s="1"/>
      <c r="AB14" s="1"/>
      <c r="AC14" s="1"/>
    </row>
    <row r="15" spans="1:29" x14ac:dyDescent="0.2">
      <c r="A15" s="2842"/>
      <c r="B15" s="76"/>
      <c r="C15" s="77"/>
      <c r="D15" s="62"/>
      <c r="E15" s="89">
        <f>C15*D15</f>
        <v>0</v>
      </c>
      <c r="F15" s="4"/>
      <c r="G15" s="184" t="s">
        <v>56</v>
      </c>
      <c r="J15" s="1"/>
      <c r="K15" s="1"/>
      <c r="L15" s="1"/>
      <c r="M15" s="1"/>
      <c r="N15" s="1"/>
      <c r="O15" s="1"/>
      <c r="P15" s="1"/>
      <c r="Q15" s="1"/>
      <c r="R15" s="1"/>
      <c r="S15" s="1"/>
      <c r="T15" s="1"/>
      <c r="U15" s="1"/>
      <c r="V15" s="1"/>
      <c r="W15" s="1"/>
      <c r="X15" s="1"/>
      <c r="Y15" s="1"/>
      <c r="Z15" s="1"/>
      <c r="AA15" s="1"/>
      <c r="AB15" s="1"/>
      <c r="AC15" s="1"/>
    </row>
    <row r="16" spans="1:29" x14ac:dyDescent="0.2">
      <c r="A16" s="2842"/>
      <c r="B16" s="76"/>
      <c r="C16" s="77"/>
      <c r="D16" s="62"/>
      <c r="E16" s="89">
        <f>C16*D16</f>
        <v>0</v>
      </c>
      <c r="F16" s="4"/>
      <c r="G16" s="184" t="s">
        <v>56</v>
      </c>
      <c r="J16" s="1"/>
      <c r="K16" s="1"/>
      <c r="L16" s="1"/>
      <c r="M16" s="1"/>
      <c r="N16" s="1"/>
      <c r="O16" s="1"/>
      <c r="P16" s="1"/>
      <c r="Q16" s="1"/>
      <c r="R16" s="1"/>
      <c r="S16" s="1"/>
      <c r="T16" s="1"/>
      <c r="U16" s="1"/>
      <c r="V16" s="1"/>
      <c r="W16" s="1"/>
      <c r="X16" s="1"/>
      <c r="Y16" s="1"/>
      <c r="Z16" s="1"/>
      <c r="AA16" s="1"/>
      <c r="AB16" s="1"/>
      <c r="AC16" s="1"/>
    </row>
    <row r="17" spans="1:29" x14ac:dyDescent="0.2">
      <c r="A17" s="2842"/>
      <c r="B17" s="76"/>
      <c r="C17" s="77"/>
      <c r="D17" s="62"/>
      <c r="E17" s="89">
        <f>C17*D17</f>
        <v>0</v>
      </c>
      <c r="F17" s="4"/>
      <c r="G17" s="184" t="s">
        <v>56</v>
      </c>
      <c r="J17" s="1"/>
      <c r="K17" s="1"/>
      <c r="L17" s="1"/>
      <c r="M17" s="1"/>
      <c r="N17" s="1"/>
      <c r="O17" s="1"/>
      <c r="P17" s="1"/>
      <c r="Q17" s="1"/>
      <c r="R17" s="1"/>
      <c r="S17" s="1"/>
      <c r="T17" s="1"/>
      <c r="U17" s="1"/>
      <c r="V17" s="1"/>
      <c r="W17" s="1"/>
      <c r="X17" s="1"/>
      <c r="Y17" s="1"/>
      <c r="Z17" s="1"/>
      <c r="AA17" s="1"/>
      <c r="AB17" s="1"/>
      <c r="AC17" s="1"/>
    </row>
    <row r="18" spans="1:29" ht="15.75" thickBot="1" x14ac:dyDescent="0.25">
      <c r="A18" s="2842"/>
      <c r="B18" s="76"/>
      <c r="C18" s="79"/>
      <c r="D18" s="38"/>
      <c r="E18" s="90">
        <f>C18*D18</f>
        <v>0</v>
      </c>
      <c r="F18" s="4"/>
      <c r="G18" s="184" t="s">
        <v>56</v>
      </c>
      <c r="J18" s="1"/>
      <c r="K18" s="1"/>
      <c r="L18" s="1"/>
      <c r="M18" s="1"/>
      <c r="N18" s="1"/>
      <c r="O18" s="1"/>
      <c r="P18" s="1"/>
      <c r="Q18" s="1"/>
      <c r="R18" s="1"/>
      <c r="S18" s="1"/>
      <c r="T18" s="1"/>
      <c r="U18" s="1"/>
      <c r="V18" s="1"/>
      <c r="W18" s="1"/>
      <c r="X18" s="1"/>
      <c r="Y18" s="1"/>
      <c r="Z18" s="1"/>
      <c r="AA18" s="1"/>
      <c r="AB18" s="1"/>
      <c r="AC18" s="1"/>
    </row>
    <row r="19" spans="1:29" ht="16.5" thickBot="1" x14ac:dyDescent="0.3">
      <c r="A19" s="2843"/>
      <c r="B19" s="170"/>
      <c r="C19" s="91">
        <f>SUM(C14:C18)</f>
        <v>0</v>
      </c>
      <c r="D19" s="171"/>
      <c r="E19" s="92">
        <f>SUM(E14:E18)</f>
        <v>0</v>
      </c>
      <c r="F19" s="4"/>
      <c r="G19" s="184" t="s">
        <v>56</v>
      </c>
      <c r="J19" s="1"/>
      <c r="K19" s="1"/>
      <c r="L19" s="1"/>
      <c r="M19" s="1"/>
      <c r="N19" s="1"/>
      <c r="O19" s="1"/>
      <c r="P19" s="1"/>
      <c r="Q19" s="1"/>
      <c r="R19" s="1"/>
      <c r="S19" s="1"/>
      <c r="T19" s="1"/>
      <c r="U19" s="1"/>
      <c r="V19" s="1"/>
      <c r="W19" s="1"/>
      <c r="X19" s="1"/>
      <c r="Y19" s="1"/>
      <c r="Z19" s="1"/>
      <c r="AA19" s="1"/>
      <c r="AB19" s="1"/>
      <c r="AC19" s="1"/>
    </row>
    <row r="20" spans="1:29" ht="15.75" x14ac:dyDescent="0.25">
      <c r="A20" s="179"/>
      <c r="B20" s="5"/>
      <c r="C20" s="183"/>
      <c r="D20" s="19"/>
      <c r="E20" s="99"/>
      <c r="F20" s="4"/>
      <c r="G20" s="184" t="s">
        <v>56</v>
      </c>
      <c r="J20" s="1"/>
      <c r="K20" s="1"/>
      <c r="L20" s="1"/>
      <c r="M20" s="1"/>
      <c r="N20" s="1"/>
      <c r="O20" s="1"/>
      <c r="P20" s="1"/>
      <c r="Q20" s="1"/>
      <c r="R20" s="1"/>
      <c r="S20" s="1"/>
      <c r="T20" s="1"/>
      <c r="U20" s="1"/>
      <c r="V20" s="1"/>
      <c r="W20" s="1"/>
      <c r="X20" s="1"/>
      <c r="Y20" s="1"/>
      <c r="Z20" s="1"/>
      <c r="AA20" s="1"/>
      <c r="AB20" s="1"/>
      <c r="AC20" s="1"/>
    </row>
    <row r="21" spans="1:29" ht="15.75" thickBot="1" x14ac:dyDescent="0.25">
      <c r="A21" s="3"/>
      <c r="B21" s="5"/>
      <c r="C21" s="5"/>
      <c r="D21" s="5"/>
      <c r="E21" s="5"/>
      <c r="F21" s="4"/>
      <c r="G21" s="184" t="s">
        <v>56</v>
      </c>
      <c r="J21" s="1"/>
      <c r="K21" s="1"/>
      <c r="L21" s="1"/>
      <c r="M21" s="1"/>
      <c r="N21" s="1"/>
      <c r="O21" s="1"/>
      <c r="P21" s="1"/>
      <c r="Q21" s="1"/>
      <c r="R21" s="1"/>
      <c r="S21" s="1"/>
      <c r="T21" s="1"/>
      <c r="U21" s="1"/>
      <c r="V21" s="1"/>
      <c r="W21" s="1"/>
      <c r="X21" s="1"/>
      <c r="Y21" s="1"/>
      <c r="Z21" s="1"/>
      <c r="AA21" s="1"/>
      <c r="AB21" s="1"/>
      <c r="AC21" s="1"/>
    </row>
    <row r="22" spans="1:29" ht="30.75" thickBot="1" x14ac:dyDescent="0.25">
      <c r="A22" s="3150" t="s">
        <v>139</v>
      </c>
      <c r="B22" s="176" t="s">
        <v>116</v>
      </c>
      <c r="C22" s="176" t="s">
        <v>36</v>
      </c>
      <c r="D22" s="65" t="s">
        <v>37</v>
      </c>
      <c r="E22" s="176" t="s">
        <v>117</v>
      </c>
      <c r="F22" s="163" t="s">
        <v>118</v>
      </c>
      <c r="G22" s="184" t="s">
        <v>56</v>
      </c>
      <c r="J22" s="1"/>
      <c r="K22" s="1"/>
      <c r="L22" s="1"/>
      <c r="M22" s="1"/>
      <c r="N22" s="1"/>
      <c r="O22" s="1"/>
      <c r="P22" s="1"/>
      <c r="Q22" s="1"/>
      <c r="R22" s="1"/>
      <c r="S22" s="1"/>
      <c r="T22" s="1"/>
      <c r="U22" s="1"/>
      <c r="V22" s="1"/>
      <c r="W22" s="1"/>
      <c r="X22" s="1"/>
      <c r="Y22" s="1"/>
      <c r="Z22" s="1"/>
      <c r="AA22" s="1"/>
      <c r="AB22" s="1"/>
      <c r="AC22" s="1"/>
    </row>
    <row r="23" spans="1:29" x14ac:dyDescent="0.2">
      <c r="A23" s="2836"/>
      <c r="B23" s="6"/>
      <c r="C23" s="6"/>
      <c r="D23" s="37"/>
      <c r="E23" s="62"/>
      <c r="F23" s="94">
        <f>D23*E23</f>
        <v>0</v>
      </c>
      <c r="G23" s="184" t="s">
        <v>56</v>
      </c>
      <c r="J23" s="1"/>
      <c r="K23" s="1"/>
      <c r="L23" s="1"/>
      <c r="M23" s="1"/>
      <c r="N23" s="1"/>
      <c r="O23" s="1"/>
      <c r="P23" s="1"/>
      <c r="Q23" s="1"/>
      <c r="R23" s="1"/>
      <c r="S23" s="1"/>
      <c r="T23" s="1"/>
      <c r="U23" s="1"/>
      <c r="V23" s="1"/>
      <c r="W23" s="1"/>
      <c r="X23" s="1"/>
      <c r="Y23" s="1"/>
      <c r="Z23" s="1"/>
      <c r="AA23" s="1"/>
      <c r="AB23" s="1"/>
      <c r="AC23" s="1"/>
    </row>
    <row r="24" spans="1:29" x14ac:dyDescent="0.2">
      <c r="A24" s="2836"/>
      <c r="B24" s="6"/>
      <c r="C24" s="6"/>
      <c r="D24" s="37"/>
      <c r="E24" s="62"/>
      <c r="F24" s="95">
        <f>D24*E24</f>
        <v>0</v>
      </c>
      <c r="G24" s="184" t="s">
        <v>56</v>
      </c>
      <c r="H24" s="588">
        <f>D11+E19+F28</f>
        <v>0</v>
      </c>
      <c r="J24" s="1"/>
      <c r="K24" s="1"/>
      <c r="L24" s="1"/>
      <c r="M24" s="1"/>
      <c r="N24" s="1"/>
      <c r="O24" s="1"/>
      <c r="P24" s="1"/>
      <c r="Q24" s="1"/>
      <c r="R24" s="1"/>
      <c r="S24" s="1"/>
      <c r="T24" s="1"/>
      <c r="U24" s="1"/>
      <c r="V24" s="1"/>
      <c r="W24" s="1"/>
      <c r="X24" s="1"/>
      <c r="Y24" s="1"/>
      <c r="Z24" s="1"/>
      <c r="AA24" s="1"/>
      <c r="AB24" s="1"/>
      <c r="AC24" s="1"/>
    </row>
    <row r="25" spans="1:29" x14ac:dyDescent="0.2">
      <c r="A25" s="2836"/>
      <c r="B25" s="6"/>
      <c r="C25" s="6"/>
      <c r="D25" s="37"/>
      <c r="E25" s="62"/>
      <c r="F25" s="95">
        <f>D25*E25</f>
        <v>0</v>
      </c>
      <c r="G25" s="184" t="s">
        <v>56</v>
      </c>
      <c r="J25" s="1"/>
      <c r="K25" s="1"/>
      <c r="L25" s="1"/>
      <c r="M25" s="1"/>
      <c r="N25" s="1"/>
      <c r="O25" s="1"/>
      <c r="P25" s="1"/>
      <c r="Q25" s="1"/>
      <c r="R25" s="1"/>
      <c r="S25" s="1"/>
      <c r="T25" s="1"/>
      <c r="U25" s="1"/>
      <c r="V25" s="1"/>
      <c r="W25" s="1"/>
      <c r="X25" s="1"/>
      <c r="Y25" s="1"/>
      <c r="Z25" s="1"/>
      <c r="AA25" s="1"/>
      <c r="AB25" s="1"/>
      <c r="AC25" s="1"/>
    </row>
    <row r="26" spans="1:29" x14ac:dyDescent="0.2">
      <c r="A26" s="2836"/>
      <c r="B26" s="6"/>
      <c r="C26" s="6"/>
      <c r="D26" s="6"/>
      <c r="E26" s="31"/>
      <c r="F26" s="95">
        <f>D26*E26</f>
        <v>0</v>
      </c>
      <c r="G26" s="184" t="s">
        <v>56</v>
      </c>
      <c r="J26" s="1"/>
      <c r="K26" s="1"/>
      <c r="L26" s="1"/>
      <c r="M26" s="1"/>
      <c r="N26" s="1"/>
      <c r="O26" s="1"/>
      <c r="P26" s="1"/>
      <c r="Q26" s="1"/>
      <c r="R26" s="1"/>
      <c r="S26" s="1"/>
      <c r="T26" s="1"/>
      <c r="U26" s="1"/>
      <c r="V26" s="1"/>
      <c r="W26" s="1"/>
      <c r="X26" s="1"/>
      <c r="Y26" s="1"/>
      <c r="Z26" s="1"/>
      <c r="AA26" s="1"/>
      <c r="AB26" s="1"/>
      <c r="AC26" s="1"/>
    </row>
    <row r="27" spans="1:29" ht="15.75" thickBot="1" x14ac:dyDescent="0.25">
      <c r="A27" s="3151"/>
      <c r="B27" s="7"/>
      <c r="C27" s="7"/>
      <c r="D27" s="7"/>
      <c r="E27" s="82"/>
      <c r="F27" s="96">
        <f>D27*E27</f>
        <v>0</v>
      </c>
      <c r="G27" s="184" t="s">
        <v>56</v>
      </c>
      <c r="J27" s="1"/>
      <c r="K27" s="1"/>
      <c r="L27" s="1"/>
      <c r="M27" s="1"/>
      <c r="N27" s="1"/>
      <c r="O27" s="1"/>
      <c r="P27" s="1"/>
      <c r="Q27" s="1"/>
      <c r="R27" s="1"/>
      <c r="S27" s="1"/>
      <c r="T27" s="1"/>
      <c r="U27" s="1"/>
      <c r="V27" s="1"/>
      <c r="W27" s="1"/>
      <c r="X27" s="1"/>
      <c r="Y27" s="1"/>
      <c r="Z27" s="1"/>
      <c r="AA27" s="1"/>
      <c r="AB27" s="1"/>
      <c r="AC27" s="1"/>
    </row>
    <row r="28" spans="1:29" ht="15.75" thickBot="1" x14ac:dyDescent="0.25">
      <c r="A28" s="18"/>
      <c r="B28" s="10"/>
      <c r="C28" s="10"/>
      <c r="D28" s="10"/>
      <c r="E28" s="177" t="s">
        <v>70</v>
      </c>
      <c r="F28" s="169">
        <f>SUM(F23:F27)</f>
        <v>0</v>
      </c>
      <c r="G28" s="184" t="s">
        <v>56</v>
      </c>
      <c r="J28" s="1"/>
      <c r="K28" s="1"/>
      <c r="L28" s="1"/>
      <c r="M28" s="1"/>
      <c r="N28" s="1"/>
      <c r="O28" s="1"/>
      <c r="P28" s="1"/>
      <c r="Q28" s="1"/>
      <c r="R28" s="1"/>
      <c r="S28" s="1"/>
      <c r="T28" s="1"/>
      <c r="U28" s="1"/>
      <c r="V28" s="1"/>
      <c r="W28" s="1"/>
      <c r="X28" s="1"/>
      <c r="Y28" s="1"/>
      <c r="Z28" s="1"/>
      <c r="AA28" s="1"/>
      <c r="AB28" s="1"/>
      <c r="AC28" s="1"/>
    </row>
    <row r="29" spans="1:29" ht="16.5" thickBot="1" x14ac:dyDescent="0.3">
      <c r="A29" s="18"/>
      <c r="B29" s="10"/>
      <c r="C29" s="10"/>
      <c r="D29" s="10"/>
      <c r="E29" s="10"/>
      <c r="F29" s="165"/>
      <c r="G29" s="184" t="s">
        <v>56</v>
      </c>
      <c r="J29" s="1"/>
      <c r="K29" s="1"/>
      <c r="L29" s="1"/>
      <c r="M29" s="1"/>
      <c r="N29" s="1"/>
      <c r="O29" s="1"/>
      <c r="P29" s="1"/>
      <c r="Q29" s="1"/>
      <c r="R29" s="1"/>
      <c r="S29" s="1"/>
      <c r="T29" s="1"/>
      <c r="U29" s="1"/>
      <c r="V29" s="1"/>
      <c r="W29" s="1"/>
      <c r="X29" s="1"/>
      <c r="Y29" s="1"/>
      <c r="Z29" s="1"/>
      <c r="AA29" s="1"/>
      <c r="AB29" s="1"/>
      <c r="AC29" s="1"/>
    </row>
    <row r="30" spans="1:29" ht="15.75" x14ac:dyDescent="0.25">
      <c r="A30" s="5"/>
      <c r="B30" s="5"/>
      <c r="C30" s="5"/>
      <c r="D30" s="5"/>
      <c r="E30" s="5"/>
      <c r="F30" s="97"/>
      <c r="G30" s="184" t="s">
        <v>56</v>
      </c>
      <c r="J30" s="1210">
        <f>F28+E19</f>
        <v>0</v>
      </c>
      <c r="K30" s="1"/>
      <c r="L30" s="1"/>
      <c r="M30" s="1"/>
      <c r="N30" s="1"/>
      <c r="O30" s="1"/>
      <c r="P30" s="1"/>
      <c r="Q30" s="1"/>
      <c r="R30" s="1"/>
      <c r="S30" s="1"/>
      <c r="T30" s="1"/>
      <c r="U30" s="1"/>
      <c r="V30" s="1"/>
      <c r="W30" s="1"/>
      <c r="X30" s="1"/>
      <c r="Y30" s="1"/>
      <c r="Z30" s="1"/>
      <c r="AA30" s="1"/>
      <c r="AB30" s="1"/>
      <c r="AC30" s="1"/>
    </row>
    <row r="31" spans="1:29" ht="15.75" x14ac:dyDescent="0.25">
      <c r="A31" s="5"/>
      <c r="B31" s="5"/>
      <c r="C31" s="5"/>
      <c r="D31" s="5"/>
      <c r="E31" s="5"/>
      <c r="F31" s="97"/>
      <c r="G31" s="184" t="s">
        <v>56</v>
      </c>
      <c r="J31" s="1"/>
      <c r="K31" s="1"/>
      <c r="L31" s="1"/>
      <c r="M31" s="1"/>
      <c r="N31" s="1"/>
      <c r="O31" s="1"/>
      <c r="P31" s="1"/>
      <c r="Q31" s="1"/>
      <c r="R31" s="1"/>
      <c r="S31" s="1"/>
      <c r="T31" s="1"/>
      <c r="U31" s="1"/>
      <c r="V31" s="1"/>
      <c r="W31" s="1"/>
      <c r="X31" s="1"/>
      <c r="Y31" s="1"/>
      <c r="Z31" s="1"/>
      <c r="AA31" s="1"/>
      <c r="AB31" s="1"/>
      <c r="AC31" s="1"/>
    </row>
    <row r="32" spans="1:29" ht="15.75" thickBot="1" x14ac:dyDescent="0.25">
      <c r="A32" s="5"/>
      <c r="B32" s="5"/>
      <c r="C32" s="5"/>
      <c r="D32" s="5"/>
      <c r="E32" s="5"/>
      <c r="F32" s="5"/>
      <c r="G32" s="184" t="s">
        <v>56</v>
      </c>
      <c r="J32" s="1"/>
      <c r="K32" s="1"/>
      <c r="L32" s="1"/>
      <c r="M32" s="1"/>
      <c r="N32" s="1"/>
      <c r="O32" s="1"/>
      <c r="P32" s="1"/>
      <c r="Q32" s="1"/>
      <c r="R32" s="1"/>
      <c r="S32" s="1"/>
      <c r="T32" s="1"/>
      <c r="U32" s="1"/>
      <c r="V32" s="1"/>
      <c r="W32" s="1"/>
      <c r="X32" s="1"/>
      <c r="Y32" s="1"/>
      <c r="Z32" s="1"/>
      <c r="AA32" s="1"/>
      <c r="AB32" s="1"/>
      <c r="AC32" s="1"/>
    </row>
    <row r="33" spans="1:29" ht="27" customHeight="1" thickBot="1" x14ac:dyDescent="0.35">
      <c r="A33" s="3140" t="str">
        <f>PRODUÇÃO!B83</f>
        <v xml:space="preserve">                 AVES</v>
      </c>
      <c r="B33" s="3141"/>
      <c r="C33" s="3141"/>
      <c r="D33" s="3141"/>
      <c r="E33" s="3141"/>
      <c r="F33" s="3142"/>
      <c r="G33" s="184" t="s">
        <v>56</v>
      </c>
      <c r="H33" s="589"/>
      <c r="I33" s="589"/>
      <c r="J33" s="1"/>
      <c r="K33" s="1"/>
      <c r="L33" s="1"/>
      <c r="M33" s="1"/>
      <c r="N33" s="1"/>
      <c r="O33" s="1"/>
      <c r="P33" s="1"/>
      <c r="Q33" s="1"/>
      <c r="R33" s="1"/>
      <c r="S33" s="1"/>
      <c r="T33" s="1"/>
      <c r="U33" s="1"/>
      <c r="V33" s="1"/>
      <c r="W33" s="1"/>
      <c r="X33" s="1"/>
      <c r="Y33" s="1"/>
      <c r="Z33" s="1"/>
      <c r="AA33" s="1"/>
      <c r="AB33" s="1"/>
      <c r="AC33" s="1"/>
    </row>
    <row r="34" spans="1:29" ht="48" thickBot="1" x14ac:dyDescent="0.3">
      <c r="A34" s="1211"/>
      <c r="B34" s="173" t="s">
        <v>589</v>
      </c>
      <c r="C34" s="330" t="s">
        <v>590</v>
      </c>
      <c r="D34" s="1017" t="s">
        <v>591</v>
      </c>
      <c r="E34" s="1019" t="s">
        <v>58</v>
      </c>
      <c r="F34" s="1018" t="s">
        <v>592</v>
      </c>
      <c r="G34" s="184" t="s">
        <v>56</v>
      </c>
      <c r="H34" s="589"/>
      <c r="I34" s="589"/>
      <c r="J34" s="24"/>
      <c r="K34" s="1"/>
      <c r="L34" s="1"/>
      <c r="M34" s="1"/>
      <c r="N34" s="1"/>
      <c r="O34" s="1"/>
      <c r="P34" s="1"/>
      <c r="Q34" s="1"/>
      <c r="R34" s="1"/>
      <c r="S34" s="1"/>
      <c r="T34" s="1"/>
      <c r="U34" s="1"/>
      <c r="V34" s="1"/>
      <c r="W34" s="1"/>
      <c r="X34" s="1"/>
      <c r="Y34" s="1"/>
      <c r="Z34" s="1"/>
      <c r="AA34" s="1"/>
      <c r="AB34" s="1"/>
      <c r="AC34" s="1"/>
    </row>
    <row r="35" spans="1:29" ht="16.5" thickBot="1" x14ac:dyDescent="0.3">
      <c r="A35" s="3139" t="s">
        <v>132</v>
      </c>
      <c r="B35" s="98" t="str">
        <f>B6</f>
        <v/>
      </c>
      <c r="C35" s="1021">
        <f>F6</f>
        <v>0</v>
      </c>
      <c r="D35" s="200"/>
      <c r="E35" s="1015" t="str">
        <f>IF(D35&gt;C35,"ERRO utilizado não pode ser maior estoque","certo")</f>
        <v>certo</v>
      </c>
      <c r="F35" s="1020">
        <f>C35-D35</f>
        <v>0</v>
      </c>
      <c r="G35" s="184" t="s">
        <v>56</v>
      </c>
      <c r="H35" s="589"/>
      <c r="I35" s="589"/>
      <c r="J35" s="24"/>
      <c r="K35" s="1"/>
      <c r="L35" s="1"/>
      <c r="M35" s="1"/>
      <c r="N35" s="1"/>
      <c r="O35" s="1"/>
      <c r="P35" s="1"/>
      <c r="Q35" s="1"/>
      <c r="R35" s="1"/>
      <c r="S35" s="1"/>
      <c r="T35" s="1"/>
      <c r="U35" s="1"/>
      <c r="V35" s="1"/>
      <c r="W35" s="1"/>
      <c r="X35" s="1"/>
      <c r="Y35" s="1"/>
      <c r="Z35" s="1"/>
      <c r="AA35" s="1"/>
      <c r="AB35" s="1"/>
      <c r="AC35" s="1"/>
    </row>
    <row r="36" spans="1:29" ht="16.5" thickBot="1" x14ac:dyDescent="0.3">
      <c r="A36" s="2842"/>
      <c r="B36" s="98" t="str">
        <f>B7</f>
        <v/>
      </c>
      <c r="C36" s="1021">
        <f>F7</f>
        <v>0</v>
      </c>
      <c r="D36" s="86"/>
      <c r="E36" s="1015" t="str">
        <f>IF(D36&gt;C36,"ERRO utilizado não pode ser maior estoque","certo")</f>
        <v>certo</v>
      </c>
      <c r="F36" s="1020">
        <f>C36-D36</f>
        <v>0</v>
      </c>
      <c r="G36" s="184" t="s">
        <v>56</v>
      </c>
      <c r="H36" s="589"/>
      <c r="I36" s="589"/>
      <c r="J36" s="24"/>
      <c r="K36" s="1"/>
      <c r="L36" s="1"/>
      <c r="M36" s="1"/>
      <c r="N36" s="1"/>
      <c r="O36" s="1"/>
      <c r="P36" s="1"/>
      <c r="Q36" s="1"/>
      <c r="R36" s="1"/>
      <c r="S36" s="1"/>
      <c r="T36" s="1"/>
      <c r="U36" s="1"/>
      <c r="V36" s="1"/>
      <c r="W36" s="1"/>
      <c r="X36" s="1"/>
      <c r="Y36" s="1"/>
      <c r="Z36" s="1"/>
      <c r="AA36" s="1"/>
      <c r="AB36" s="1"/>
      <c r="AC36" s="1"/>
    </row>
    <row r="37" spans="1:29" ht="16.5" thickBot="1" x14ac:dyDescent="0.3">
      <c r="A37" s="2842"/>
      <c r="B37" s="98" t="str">
        <f>B8</f>
        <v/>
      </c>
      <c r="C37" s="1021">
        <f>F8</f>
        <v>0</v>
      </c>
      <c r="D37" s="86"/>
      <c r="E37" s="1015" t="str">
        <f>IF(D37&gt;C37,"ERRO utilizado não pode ser maior estoque","certo")</f>
        <v>certo</v>
      </c>
      <c r="F37" s="1020">
        <f>C37-D37</f>
        <v>0</v>
      </c>
      <c r="G37" s="184" t="s">
        <v>56</v>
      </c>
      <c r="H37" s="589"/>
      <c r="I37" s="589"/>
      <c r="J37" s="24"/>
      <c r="K37" s="1"/>
      <c r="L37" s="1"/>
      <c r="M37" s="1"/>
      <c r="N37" s="1"/>
      <c r="O37" s="1"/>
      <c r="P37" s="1"/>
      <c r="Q37" s="1"/>
      <c r="R37" s="1"/>
      <c r="S37" s="1"/>
      <c r="T37" s="1"/>
      <c r="U37" s="1"/>
      <c r="V37" s="1"/>
      <c r="W37" s="1"/>
      <c r="X37" s="1"/>
      <c r="Y37" s="1"/>
      <c r="Z37" s="1"/>
      <c r="AA37" s="1"/>
      <c r="AB37" s="1"/>
      <c r="AC37" s="1"/>
    </row>
    <row r="38" spans="1:29" ht="16.5" thickBot="1" x14ac:dyDescent="0.3">
      <c r="A38" s="2842"/>
      <c r="B38" s="98" t="str">
        <f>B9</f>
        <v/>
      </c>
      <c r="C38" s="1021">
        <f>F9</f>
        <v>0</v>
      </c>
      <c r="D38" s="86"/>
      <c r="E38" s="1015" t="str">
        <f>IF(D38&gt;C38,"ERRO utilizado não pode ser maior estoque","certo")</f>
        <v>certo</v>
      </c>
      <c r="F38" s="1020">
        <f>C38-D38</f>
        <v>0</v>
      </c>
      <c r="G38" s="184" t="s">
        <v>56</v>
      </c>
      <c r="H38" s="589"/>
      <c r="I38" s="589"/>
      <c r="J38" s="24"/>
      <c r="K38" s="1"/>
      <c r="L38" s="1"/>
      <c r="M38" s="1"/>
      <c r="N38" s="1"/>
      <c r="O38" s="1"/>
      <c r="P38" s="1"/>
      <c r="Q38" s="1"/>
      <c r="R38" s="1"/>
      <c r="S38" s="1"/>
      <c r="T38" s="1"/>
      <c r="U38" s="1"/>
      <c r="V38" s="1"/>
      <c r="W38" s="1"/>
      <c r="X38" s="1"/>
      <c r="Y38" s="1"/>
      <c r="Z38" s="1"/>
      <c r="AA38" s="1"/>
      <c r="AB38" s="1"/>
      <c r="AC38" s="1"/>
    </row>
    <row r="39" spans="1:29" ht="16.5" thickBot="1" x14ac:dyDescent="0.3">
      <c r="A39" s="2843"/>
      <c r="B39" s="98" t="str">
        <f>B10</f>
        <v/>
      </c>
      <c r="C39" s="1021">
        <f>F10</f>
        <v>0</v>
      </c>
      <c r="D39" s="88"/>
      <c r="E39" s="1015" t="str">
        <f>IF(D39&gt;C39,"ERRO utilizado não pode ser maior estoque","certo")</f>
        <v>certo</v>
      </c>
      <c r="F39" s="1020">
        <f>C39-D39</f>
        <v>0</v>
      </c>
      <c r="G39" s="184" t="s">
        <v>56</v>
      </c>
      <c r="H39" s="589"/>
      <c r="I39" s="589"/>
      <c r="J39" s="24"/>
      <c r="K39" s="1"/>
      <c r="L39" s="1"/>
      <c r="M39" s="1"/>
      <c r="N39" s="1"/>
      <c r="O39" s="1"/>
      <c r="P39" s="1"/>
      <c r="Q39" s="1"/>
      <c r="R39" s="1"/>
      <c r="S39" s="1"/>
      <c r="T39" s="1"/>
      <c r="U39" s="1"/>
      <c r="V39" s="1"/>
      <c r="W39" s="1"/>
      <c r="X39" s="1"/>
      <c r="Y39" s="1"/>
      <c r="Z39" s="1"/>
      <c r="AA39" s="1"/>
      <c r="AB39" s="1"/>
      <c r="AC39" s="1"/>
    </row>
    <row r="40" spans="1:29" ht="16.5" thickBot="1" x14ac:dyDescent="0.25">
      <c r="A40" s="1212"/>
      <c r="B40" s="1213"/>
      <c r="C40" s="1213"/>
      <c r="D40" s="1213"/>
      <c r="E40" s="178">
        <f>SUM(E35:E39)</f>
        <v>0</v>
      </c>
      <c r="F40" s="175"/>
      <c r="G40" s="184" t="s">
        <v>56</v>
      </c>
      <c r="H40" s="589"/>
      <c r="I40" s="589"/>
      <c r="J40" s="24"/>
      <c r="K40" s="1"/>
      <c r="L40" s="1"/>
      <c r="M40" s="1"/>
      <c r="N40" s="1"/>
      <c r="O40" s="1"/>
      <c r="P40" s="1"/>
      <c r="Q40" s="1"/>
      <c r="R40" s="1"/>
      <c r="S40" s="1"/>
      <c r="T40" s="1"/>
      <c r="U40" s="1"/>
      <c r="V40" s="1"/>
      <c r="W40" s="1"/>
      <c r="X40" s="1"/>
      <c r="Y40" s="1"/>
      <c r="Z40" s="1"/>
      <c r="AA40" s="1"/>
      <c r="AB40" s="1"/>
      <c r="AC40" s="1"/>
    </row>
    <row r="41" spans="1:29" s="5" customFormat="1" ht="16.5" thickBot="1" x14ac:dyDescent="0.25">
      <c r="A41" s="179"/>
      <c r="E41" s="53"/>
      <c r="F41" s="1209"/>
      <c r="G41" s="184" t="s">
        <v>56</v>
      </c>
      <c r="H41" s="166"/>
      <c r="I41" s="589"/>
      <c r="J41" s="24"/>
    </row>
    <row r="42" spans="1:29" ht="31.5" x14ac:dyDescent="0.25">
      <c r="A42" s="3139" t="s">
        <v>138</v>
      </c>
      <c r="B42" s="180" t="s">
        <v>135</v>
      </c>
      <c r="C42" s="181" t="s">
        <v>133</v>
      </c>
      <c r="D42" s="181" t="s">
        <v>136</v>
      </c>
      <c r="E42" s="182" t="s">
        <v>134</v>
      </c>
      <c r="F42" s="1209"/>
      <c r="G42" s="184" t="s">
        <v>56</v>
      </c>
      <c r="J42" s="1"/>
      <c r="K42" s="1"/>
      <c r="L42" s="1"/>
      <c r="M42" s="1"/>
      <c r="N42" s="1"/>
      <c r="O42" s="1"/>
      <c r="P42" s="1"/>
      <c r="Q42" s="1"/>
      <c r="R42" s="1"/>
      <c r="S42" s="1"/>
      <c r="T42" s="1"/>
      <c r="U42" s="1"/>
      <c r="V42" s="1"/>
      <c r="W42" s="1"/>
      <c r="X42" s="1"/>
      <c r="Y42" s="1"/>
      <c r="Z42" s="1"/>
      <c r="AA42" s="1"/>
      <c r="AB42" s="1"/>
      <c r="AC42" s="1"/>
    </row>
    <row r="43" spans="1:29" x14ac:dyDescent="0.2">
      <c r="A43" s="2842"/>
      <c r="B43" s="76"/>
      <c r="C43" s="77"/>
      <c r="D43" s="62"/>
      <c r="E43" s="78">
        <f>C43*D43</f>
        <v>0</v>
      </c>
      <c r="F43" s="4"/>
      <c r="G43" s="184" t="s">
        <v>56</v>
      </c>
      <c r="J43" s="1"/>
      <c r="K43" s="1"/>
      <c r="L43" s="1"/>
      <c r="M43" s="1"/>
      <c r="N43" s="1"/>
      <c r="O43" s="1"/>
      <c r="P43" s="1"/>
      <c r="Q43" s="1"/>
      <c r="R43" s="1"/>
      <c r="S43" s="1"/>
      <c r="T43" s="1"/>
      <c r="U43" s="1"/>
      <c r="V43" s="1"/>
      <c r="W43" s="1"/>
      <c r="X43" s="1"/>
      <c r="Y43" s="1"/>
      <c r="Z43" s="1"/>
      <c r="AA43" s="1"/>
      <c r="AB43" s="1"/>
      <c r="AC43" s="1"/>
    </row>
    <row r="44" spans="1:29" x14ac:dyDescent="0.2">
      <c r="A44" s="2842"/>
      <c r="B44" s="76"/>
      <c r="C44" s="77"/>
      <c r="D44" s="62"/>
      <c r="E44" s="78">
        <f>C44*D44</f>
        <v>0</v>
      </c>
      <c r="F44" s="4"/>
      <c r="G44" s="184" t="s">
        <v>56</v>
      </c>
      <c r="J44" s="1"/>
      <c r="K44" s="1"/>
      <c r="L44" s="1"/>
      <c r="M44" s="1"/>
      <c r="N44" s="1"/>
      <c r="O44" s="1"/>
      <c r="P44" s="1"/>
      <c r="Q44" s="1"/>
      <c r="R44" s="1"/>
      <c r="S44" s="1"/>
      <c r="T44" s="1"/>
      <c r="U44" s="1"/>
      <c r="V44" s="1"/>
      <c r="W44" s="1"/>
      <c r="X44" s="1"/>
      <c r="Y44" s="1"/>
      <c r="Z44" s="1"/>
      <c r="AA44" s="1"/>
      <c r="AB44" s="1"/>
      <c r="AC44" s="1"/>
    </row>
    <row r="45" spans="1:29" x14ac:dyDescent="0.2">
      <c r="A45" s="2842"/>
      <c r="B45" s="76"/>
      <c r="C45" s="77"/>
      <c r="D45" s="62"/>
      <c r="E45" s="78">
        <f>C45*D45</f>
        <v>0</v>
      </c>
      <c r="F45" s="4"/>
      <c r="G45" s="184" t="s">
        <v>56</v>
      </c>
      <c r="J45" s="1"/>
      <c r="K45" s="1"/>
      <c r="L45" s="1"/>
      <c r="M45" s="1"/>
      <c r="N45" s="1"/>
      <c r="O45" s="1"/>
      <c r="P45" s="1"/>
      <c r="Q45" s="1"/>
      <c r="R45" s="1"/>
      <c r="S45" s="1"/>
      <c r="T45" s="1"/>
      <c r="U45" s="1"/>
      <c r="V45" s="1"/>
      <c r="W45" s="1"/>
      <c r="X45" s="1"/>
      <c r="Y45" s="1"/>
      <c r="Z45" s="1"/>
      <c r="AA45" s="1"/>
      <c r="AB45" s="1"/>
      <c r="AC45" s="1"/>
    </row>
    <row r="46" spans="1:29" x14ac:dyDescent="0.2">
      <c r="A46" s="2842"/>
      <c r="B46" s="76"/>
      <c r="C46" s="77"/>
      <c r="D46" s="62"/>
      <c r="E46" s="78">
        <f>C46*D46</f>
        <v>0</v>
      </c>
      <c r="F46" s="4"/>
      <c r="G46" s="184" t="s">
        <v>56</v>
      </c>
      <c r="J46" s="1"/>
      <c r="K46" s="1"/>
      <c r="L46" s="1"/>
      <c r="M46" s="1"/>
      <c r="N46" s="1"/>
      <c r="O46" s="1"/>
      <c r="P46" s="1"/>
      <c r="Q46" s="1"/>
      <c r="R46" s="1"/>
      <c r="S46" s="1"/>
      <c r="T46" s="1"/>
      <c r="U46" s="1"/>
      <c r="V46" s="1"/>
      <c r="W46" s="1"/>
      <c r="X46" s="1"/>
      <c r="Y46" s="1"/>
      <c r="Z46" s="1"/>
      <c r="AA46" s="1"/>
      <c r="AB46" s="1"/>
      <c r="AC46" s="1"/>
    </row>
    <row r="47" spans="1:29" ht="15.75" thickBot="1" x14ac:dyDescent="0.25">
      <c r="A47" s="2842"/>
      <c r="B47" s="76"/>
      <c r="C47" s="79"/>
      <c r="D47" s="38"/>
      <c r="E47" s="80">
        <f>C47*D47</f>
        <v>0</v>
      </c>
      <c r="F47" s="4"/>
      <c r="G47" s="184" t="s">
        <v>56</v>
      </c>
      <c r="J47" s="1"/>
      <c r="K47" s="1"/>
      <c r="L47" s="1"/>
      <c r="M47" s="1"/>
      <c r="N47" s="1"/>
      <c r="O47" s="1"/>
      <c r="P47" s="1"/>
      <c r="Q47" s="1"/>
      <c r="R47" s="1"/>
      <c r="S47" s="1"/>
      <c r="T47" s="1"/>
      <c r="U47" s="1"/>
      <c r="V47" s="1"/>
      <c r="W47" s="1"/>
      <c r="X47" s="1"/>
      <c r="Y47" s="1"/>
      <c r="Z47" s="1"/>
      <c r="AA47" s="1"/>
      <c r="AB47" s="1"/>
      <c r="AC47" s="1"/>
    </row>
    <row r="48" spans="1:29" ht="16.5" thickBot="1" x14ac:dyDescent="0.3">
      <c r="A48" s="2843"/>
      <c r="B48" s="170"/>
      <c r="C48" s="100">
        <f>SUM(C43:C47)</f>
        <v>0</v>
      </c>
      <c r="D48" s="171" t="s">
        <v>60</v>
      </c>
      <c r="E48" s="81">
        <f>SUM(E43:E47)</f>
        <v>0</v>
      </c>
      <c r="F48" s="4"/>
      <c r="G48" s="184" t="s">
        <v>56</v>
      </c>
      <c r="J48" s="1"/>
      <c r="K48" s="1"/>
      <c r="L48" s="1"/>
      <c r="M48" s="1"/>
      <c r="N48" s="1"/>
      <c r="O48" s="1"/>
      <c r="P48" s="1"/>
      <c r="Q48" s="1"/>
      <c r="R48" s="1"/>
      <c r="S48" s="1"/>
      <c r="T48" s="1"/>
      <c r="U48" s="1"/>
      <c r="V48" s="1"/>
      <c r="W48" s="1"/>
      <c r="X48" s="1"/>
      <c r="Y48" s="1"/>
      <c r="Z48" s="1"/>
      <c r="AA48" s="1"/>
      <c r="AB48" s="1"/>
      <c r="AC48" s="1"/>
    </row>
    <row r="49" spans="1:29" ht="15.75" x14ac:dyDescent="0.25">
      <c r="A49" s="179"/>
      <c r="B49" s="5"/>
      <c r="C49" s="183"/>
      <c r="D49" s="19"/>
      <c r="E49" s="99"/>
      <c r="F49" s="4"/>
      <c r="G49" s="184" t="s">
        <v>56</v>
      </c>
      <c r="J49" s="1"/>
      <c r="K49" s="1"/>
      <c r="L49" s="1"/>
      <c r="M49" s="1"/>
      <c r="N49" s="1"/>
      <c r="O49" s="1"/>
      <c r="P49" s="1"/>
      <c r="Q49" s="1"/>
      <c r="R49" s="1"/>
      <c r="S49" s="1"/>
      <c r="T49" s="1"/>
      <c r="U49" s="1"/>
      <c r="V49" s="1"/>
      <c r="W49" s="1"/>
      <c r="X49" s="1"/>
      <c r="Y49" s="1"/>
      <c r="Z49" s="1"/>
      <c r="AA49" s="1"/>
      <c r="AB49" s="1"/>
      <c r="AC49" s="1"/>
    </row>
    <row r="50" spans="1:29" ht="15.75" thickBot="1" x14ac:dyDescent="0.25">
      <c r="A50" s="3"/>
      <c r="B50" s="5"/>
      <c r="C50" s="5"/>
      <c r="D50" s="5"/>
      <c r="E50" s="5"/>
      <c r="F50" s="4"/>
      <c r="G50" s="184" t="s">
        <v>56</v>
      </c>
      <c r="J50" s="1"/>
      <c r="K50" s="1"/>
      <c r="L50" s="1"/>
      <c r="M50" s="1"/>
      <c r="N50" s="1"/>
      <c r="O50" s="1"/>
      <c r="P50" s="1"/>
      <c r="Q50" s="1"/>
      <c r="R50" s="1"/>
      <c r="S50" s="1"/>
      <c r="T50" s="1"/>
      <c r="U50" s="1"/>
      <c r="V50" s="1"/>
      <c r="W50" s="1"/>
      <c r="X50" s="1"/>
      <c r="Y50" s="1"/>
      <c r="Z50" s="1"/>
      <c r="AA50" s="1"/>
      <c r="AB50" s="1"/>
      <c r="AC50" s="1"/>
    </row>
    <row r="51" spans="1:29" ht="30.75" thickBot="1" x14ac:dyDescent="0.25">
      <c r="A51" s="3139" t="s">
        <v>139</v>
      </c>
      <c r="B51" s="185" t="s">
        <v>116</v>
      </c>
      <c r="C51" s="186" t="s">
        <v>36</v>
      </c>
      <c r="D51" s="162" t="s">
        <v>37</v>
      </c>
      <c r="E51" s="187" t="s">
        <v>117</v>
      </c>
      <c r="F51" s="163" t="s">
        <v>118</v>
      </c>
      <c r="G51" s="184" t="s">
        <v>56</v>
      </c>
      <c r="J51" s="1"/>
      <c r="K51" s="1"/>
      <c r="L51" s="1"/>
      <c r="M51" s="1"/>
      <c r="N51" s="1"/>
      <c r="O51" s="1"/>
      <c r="P51" s="1"/>
      <c r="Q51" s="1"/>
      <c r="R51" s="1"/>
      <c r="S51" s="1"/>
      <c r="T51" s="1"/>
      <c r="U51" s="1"/>
      <c r="V51" s="1"/>
      <c r="W51" s="1"/>
      <c r="X51" s="1"/>
      <c r="Y51" s="1"/>
      <c r="Z51" s="1"/>
      <c r="AA51" s="1"/>
      <c r="AB51" s="1"/>
      <c r="AC51" s="1"/>
    </row>
    <row r="52" spans="1:29" x14ac:dyDescent="0.2">
      <c r="A52" s="2842"/>
      <c r="B52" s="9"/>
      <c r="C52" s="8"/>
      <c r="D52" s="86"/>
      <c r="E52" s="93"/>
      <c r="F52" s="101">
        <f>D52*E52</f>
        <v>0</v>
      </c>
      <c r="G52" s="184" t="s">
        <v>56</v>
      </c>
      <c r="J52" s="1"/>
      <c r="K52" s="1"/>
      <c r="L52" s="1"/>
      <c r="M52" s="1"/>
      <c r="N52" s="1"/>
      <c r="O52" s="1"/>
      <c r="P52" s="1"/>
      <c r="Q52" s="1"/>
      <c r="R52" s="1"/>
      <c r="S52" s="1"/>
      <c r="T52" s="1"/>
      <c r="U52" s="1"/>
      <c r="V52" s="1"/>
      <c r="W52" s="1"/>
      <c r="X52" s="1"/>
      <c r="Y52" s="1"/>
      <c r="Z52" s="1"/>
      <c r="AA52" s="1"/>
      <c r="AB52" s="1"/>
      <c r="AC52" s="1"/>
    </row>
    <row r="53" spans="1:29" x14ac:dyDescent="0.2">
      <c r="A53" s="2842"/>
      <c r="B53" s="12"/>
      <c r="C53" s="6"/>
      <c r="D53" s="37"/>
      <c r="E53" s="62"/>
      <c r="F53" s="102">
        <f>D53*E53</f>
        <v>0</v>
      </c>
      <c r="G53" s="184" t="s">
        <v>56</v>
      </c>
      <c r="J53" s="1"/>
      <c r="K53" s="1"/>
      <c r="L53" s="1"/>
      <c r="M53" s="1"/>
      <c r="N53" s="1"/>
      <c r="O53" s="1"/>
      <c r="P53" s="1"/>
      <c r="Q53" s="1"/>
      <c r="R53" s="1"/>
      <c r="S53" s="1"/>
      <c r="T53" s="1"/>
      <c r="U53" s="1"/>
      <c r="V53" s="1"/>
      <c r="W53" s="1"/>
      <c r="X53" s="1"/>
      <c r="Y53" s="1"/>
      <c r="Z53" s="1"/>
      <c r="AA53" s="1"/>
      <c r="AB53" s="1"/>
      <c r="AC53" s="1"/>
    </row>
    <row r="54" spans="1:29" x14ac:dyDescent="0.2">
      <c r="A54" s="2842"/>
      <c r="B54" s="12"/>
      <c r="C54" s="6"/>
      <c r="D54" s="37"/>
      <c r="E54" s="62"/>
      <c r="F54" s="102">
        <f>D54*E54</f>
        <v>0</v>
      </c>
      <c r="G54" s="184" t="s">
        <v>56</v>
      </c>
      <c r="J54" s="1"/>
      <c r="K54" s="1"/>
      <c r="L54" s="1"/>
      <c r="M54" s="1"/>
      <c r="N54" s="1"/>
      <c r="O54" s="1"/>
      <c r="P54" s="1"/>
      <c r="Q54" s="1"/>
      <c r="R54" s="1"/>
      <c r="S54" s="1"/>
      <c r="T54" s="1"/>
      <c r="U54" s="1"/>
      <c r="V54" s="1"/>
      <c r="W54" s="1"/>
      <c r="X54" s="1"/>
      <c r="Y54" s="1"/>
      <c r="Z54" s="1"/>
      <c r="AA54" s="1"/>
      <c r="AB54" s="1"/>
      <c r="AC54" s="1"/>
    </row>
    <row r="55" spans="1:29" x14ac:dyDescent="0.2">
      <c r="A55" s="2842"/>
      <c r="B55" s="12"/>
      <c r="C55" s="6"/>
      <c r="D55" s="6"/>
      <c r="E55" s="31"/>
      <c r="F55" s="102">
        <f>D55*E55</f>
        <v>0</v>
      </c>
      <c r="G55" s="184" t="s">
        <v>56</v>
      </c>
      <c r="J55" s="1"/>
      <c r="K55" s="1"/>
      <c r="L55" s="1"/>
      <c r="M55" s="1"/>
      <c r="N55" s="1"/>
      <c r="O55" s="1"/>
      <c r="P55" s="1"/>
      <c r="Q55" s="1"/>
      <c r="R55" s="1"/>
      <c r="S55" s="1"/>
      <c r="T55" s="1"/>
      <c r="U55" s="1"/>
      <c r="V55" s="1"/>
      <c r="W55" s="1"/>
      <c r="X55" s="1"/>
      <c r="Y55" s="1"/>
      <c r="Z55" s="1"/>
      <c r="AA55" s="1"/>
      <c r="AB55" s="1"/>
      <c r="AC55" s="1"/>
    </row>
    <row r="56" spans="1:29" ht="15.75" thickBot="1" x14ac:dyDescent="0.25">
      <c r="A56" s="2843"/>
      <c r="B56" s="11"/>
      <c r="C56" s="7"/>
      <c r="D56" s="7"/>
      <c r="E56" s="82"/>
      <c r="F56" s="103">
        <f>D56*E56</f>
        <v>0</v>
      </c>
      <c r="G56" s="184" t="s">
        <v>56</v>
      </c>
      <c r="J56" s="1"/>
      <c r="K56" s="1"/>
      <c r="L56" s="1"/>
      <c r="M56" s="1"/>
      <c r="N56" s="1"/>
      <c r="O56" s="1"/>
      <c r="P56" s="1"/>
      <c r="Q56" s="1"/>
      <c r="R56" s="1"/>
      <c r="S56" s="1"/>
      <c r="T56" s="1"/>
      <c r="U56" s="1"/>
      <c r="V56" s="1"/>
      <c r="W56" s="1"/>
      <c r="X56" s="1"/>
      <c r="Y56" s="1"/>
      <c r="Z56" s="1"/>
      <c r="AA56" s="1"/>
      <c r="AB56" s="1"/>
      <c r="AC56" s="1"/>
    </row>
    <row r="57" spans="1:29" ht="15.75" thickBot="1" x14ac:dyDescent="0.25">
      <c r="A57" s="18"/>
      <c r="B57" s="10"/>
      <c r="C57" s="10"/>
      <c r="D57" s="10"/>
      <c r="E57" s="64" t="s">
        <v>70</v>
      </c>
      <c r="F57" s="164">
        <f>SUM(F52:F56)</f>
        <v>0</v>
      </c>
      <c r="G57" s="184" t="s">
        <v>56</v>
      </c>
      <c r="J57" s="447">
        <f>F57+E48</f>
        <v>0</v>
      </c>
      <c r="K57" s="1"/>
      <c r="L57" s="1"/>
      <c r="M57" s="1"/>
      <c r="N57" s="1"/>
      <c r="O57" s="1"/>
      <c r="P57" s="1"/>
      <c r="Q57" s="1"/>
      <c r="R57" s="1"/>
      <c r="S57" s="1"/>
      <c r="T57" s="1"/>
      <c r="U57" s="1"/>
      <c r="V57" s="1"/>
      <c r="W57" s="1"/>
      <c r="X57" s="1"/>
      <c r="Y57" s="1"/>
      <c r="Z57" s="1"/>
      <c r="AA57" s="1"/>
      <c r="AB57" s="1"/>
      <c r="AC57" s="1"/>
    </row>
    <row r="58" spans="1:29" ht="15.75" x14ac:dyDescent="0.25">
      <c r="A58" s="3"/>
      <c r="B58" s="5"/>
      <c r="C58" s="5"/>
      <c r="D58" s="13"/>
      <c r="E58" s="5"/>
      <c r="F58" s="97"/>
      <c r="G58" s="184" t="s">
        <v>56</v>
      </c>
      <c r="J58" s="1"/>
      <c r="K58" s="1"/>
      <c r="L58" s="1"/>
      <c r="M58" s="1"/>
      <c r="N58" s="1"/>
      <c r="O58" s="1"/>
      <c r="P58" s="1"/>
      <c r="Q58" s="1"/>
      <c r="R58" s="1"/>
      <c r="S58" s="1"/>
      <c r="T58" s="1"/>
      <c r="U58" s="1"/>
      <c r="V58" s="1"/>
      <c r="W58" s="1"/>
      <c r="X58" s="1"/>
      <c r="Y58" s="1"/>
      <c r="Z58" s="1"/>
      <c r="AA58" s="1"/>
      <c r="AB58" s="1"/>
      <c r="AC58" s="1"/>
    </row>
    <row r="59" spans="1:29" ht="15.75" thickBot="1" x14ac:dyDescent="0.25">
      <c r="A59" s="3"/>
      <c r="B59" s="5"/>
      <c r="C59" s="5"/>
      <c r="D59" s="5"/>
      <c r="E59" s="5"/>
      <c r="F59" s="5"/>
      <c r="G59" s="184" t="s">
        <v>56</v>
      </c>
      <c r="J59" s="1"/>
      <c r="K59" s="1"/>
      <c r="L59" s="1"/>
      <c r="M59" s="1"/>
      <c r="N59" s="1"/>
      <c r="O59" s="1"/>
      <c r="P59" s="1"/>
      <c r="Q59" s="1"/>
      <c r="R59" s="1"/>
      <c r="S59" s="1"/>
      <c r="T59" s="1"/>
      <c r="U59" s="1"/>
      <c r="V59" s="1"/>
      <c r="W59" s="1"/>
      <c r="X59" s="1"/>
      <c r="Y59" s="1"/>
      <c r="Z59" s="1"/>
      <c r="AA59" s="1"/>
      <c r="AB59" s="1"/>
      <c r="AC59" s="1"/>
    </row>
    <row r="60" spans="1:29" ht="21" thickBot="1" x14ac:dyDescent="0.35">
      <c r="A60" s="3143" t="s">
        <v>77</v>
      </c>
      <c r="B60" s="3144"/>
      <c r="C60" s="3144"/>
      <c r="D60" s="3144"/>
      <c r="E60" s="3144"/>
      <c r="F60" s="3145"/>
      <c r="G60" s="184" t="s">
        <v>56</v>
      </c>
      <c r="H60" s="589"/>
      <c r="I60" s="589"/>
      <c r="J60" s="1"/>
      <c r="K60" s="1"/>
      <c r="L60" s="1"/>
      <c r="M60" s="1"/>
      <c r="N60" s="1"/>
      <c r="O60" s="1"/>
      <c r="P60" s="1"/>
      <c r="Q60" s="1"/>
      <c r="R60" s="1"/>
      <c r="S60" s="1"/>
      <c r="T60" s="1"/>
      <c r="U60" s="1"/>
      <c r="V60" s="1"/>
      <c r="W60" s="1"/>
      <c r="X60" s="1"/>
      <c r="Y60" s="1"/>
      <c r="Z60" s="1"/>
      <c r="AA60" s="1"/>
      <c r="AB60" s="1"/>
      <c r="AC60" s="1"/>
    </row>
    <row r="61" spans="1:29" ht="48" thickBot="1" x14ac:dyDescent="0.3">
      <c r="A61" s="1211"/>
      <c r="B61" s="173" t="s">
        <v>589</v>
      </c>
      <c r="C61" s="330" t="s">
        <v>590</v>
      </c>
      <c r="D61" s="1017" t="s">
        <v>591</v>
      </c>
      <c r="E61" s="1019" t="s">
        <v>58</v>
      </c>
      <c r="F61" s="1018" t="s">
        <v>592</v>
      </c>
      <c r="G61" s="184" t="s">
        <v>56</v>
      </c>
      <c r="H61" s="589"/>
      <c r="I61" s="589"/>
      <c r="J61" s="1"/>
      <c r="K61" s="1"/>
      <c r="L61" s="1"/>
      <c r="M61" s="1"/>
      <c r="N61" s="1"/>
      <c r="O61" s="1"/>
      <c r="P61" s="1"/>
      <c r="Q61" s="1"/>
      <c r="R61" s="1"/>
      <c r="S61" s="1"/>
      <c r="T61" s="1"/>
      <c r="U61" s="1"/>
      <c r="V61" s="1"/>
      <c r="W61" s="1"/>
      <c r="X61" s="1"/>
      <c r="Y61" s="1"/>
      <c r="Z61" s="1"/>
      <c r="AA61" s="1"/>
      <c r="AB61" s="1"/>
      <c r="AC61" s="1"/>
    </row>
    <row r="62" spans="1:29" ht="16.5" thickBot="1" x14ac:dyDescent="0.3">
      <c r="A62" s="3139" t="s">
        <v>132</v>
      </c>
      <c r="B62" s="98" t="str">
        <f>B35</f>
        <v/>
      </c>
      <c r="C62" s="1021">
        <f>F35</f>
        <v>0</v>
      </c>
      <c r="D62" s="200"/>
      <c r="E62" s="1015" t="str">
        <f>IF(D62&gt;C62,"ERRO utilizado não pode ser maior estoque","certo")</f>
        <v>certo</v>
      </c>
      <c r="F62" s="1020">
        <f>C62-D62</f>
        <v>0</v>
      </c>
      <c r="G62" s="184" t="s">
        <v>56</v>
      </c>
      <c r="H62" s="589"/>
      <c r="I62" s="589"/>
      <c r="J62" s="1"/>
      <c r="K62" s="1"/>
      <c r="L62" s="1"/>
      <c r="M62" s="1"/>
      <c r="N62" s="1"/>
      <c r="O62" s="1"/>
      <c r="P62" s="1"/>
      <c r="Q62" s="1"/>
      <c r="R62" s="1"/>
      <c r="S62" s="1"/>
      <c r="T62" s="1"/>
      <c r="U62" s="1"/>
      <c r="V62" s="1"/>
      <c r="W62" s="1"/>
      <c r="X62" s="1"/>
      <c r="Y62" s="1"/>
      <c r="Z62" s="1"/>
      <c r="AA62" s="1"/>
      <c r="AB62" s="1"/>
      <c r="AC62" s="1"/>
    </row>
    <row r="63" spans="1:29" ht="16.5" thickBot="1" x14ac:dyDescent="0.3">
      <c r="A63" s="2842"/>
      <c r="B63" s="98" t="str">
        <f>B36</f>
        <v/>
      </c>
      <c r="C63" s="1021">
        <f>F36</f>
        <v>0</v>
      </c>
      <c r="D63" s="86"/>
      <c r="E63" s="1015" t="str">
        <f>IF(D63&gt;C63,"ERRO utilizado não pode ser maior estoque","certo")</f>
        <v>certo</v>
      </c>
      <c r="F63" s="1020">
        <f>C63-D63</f>
        <v>0</v>
      </c>
      <c r="G63" s="184" t="s">
        <v>56</v>
      </c>
      <c r="H63" s="589"/>
      <c r="I63" s="589"/>
      <c r="J63" s="1"/>
      <c r="K63" s="1"/>
      <c r="L63" s="1"/>
      <c r="M63" s="1"/>
      <c r="N63" s="1"/>
      <c r="O63" s="1"/>
      <c r="P63" s="1"/>
      <c r="Q63" s="1"/>
      <c r="R63" s="1"/>
      <c r="S63" s="1"/>
      <c r="T63" s="1"/>
      <c r="U63" s="1"/>
      <c r="V63" s="1"/>
      <c r="W63" s="1"/>
      <c r="X63" s="1"/>
      <c r="Y63" s="1"/>
      <c r="Z63" s="1"/>
      <c r="AA63" s="1"/>
      <c r="AB63" s="1"/>
      <c r="AC63" s="1"/>
    </row>
    <row r="64" spans="1:29" ht="16.5" thickBot="1" x14ac:dyDescent="0.3">
      <c r="A64" s="2842"/>
      <c r="B64" s="98" t="str">
        <f>B37</f>
        <v/>
      </c>
      <c r="C64" s="1021">
        <f>F37</f>
        <v>0</v>
      </c>
      <c r="D64" s="86"/>
      <c r="E64" s="1015" t="str">
        <f>IF(D64&gt;C64,"ERRO utilizado não pode ser maior estoque","certo")</f>
        <v>certo</v>
      </c>
      <c r="F64" s="1020">
        <f>C64-D64</f>
        <v>0</v>
      </c>
      <c r="G64" s="184" t="s">
        <v>56</v>
      </c>
      <c r="H64" s="589"/>
      <c r="I64" s="589"/>
      <c r="J64" s="1"/>
      <c r="K64" s="1"/>
      <c r="L64" s="1"/>
      <c r="M64" s="1"/>
      <c r="N64" s="1"/>
      <c r="O64" s="1"/>
      <c r="P64" s="1"/>
      <c r="Q64" s="1"/>
      <c r="R64" s="1"/>
      <c r="S64" s="1"/>
      <c r="T64" s="1"/>
      <c r="U64" s="1"/>
      <c r="V64" s="1"/>
      <c r="W64" s="1"/>
      <c r="X64" s="1"/>
      <c r="Y64" s="1"/>
      <c r="Z64" s="1"/>
      <c r="AA64" s="1"/>
      <c r="AB64" s="1"/>
      <c r="AC64" s="1"/>
    </row>
    <row r="65" spans="1:29" ht="16.5" thickBot="1" x14ac:dyDescent="0.3">
      <c r="A65" s="2842"/>
      <c r="B65" s="98" t="str">
        <f>B38</f>
        <v/>
      </c>
      <c r="C65" s="1021">
        <f>F38</f>
        <v>0</v>
      </c>
      <c r="D65" s="86"/>
      <c r="E65" s="1015" t="str">
        <f>IF(D65&gt;C65,"ERRO utilizado não pode ser maior estoque","certo")</f>
        <v>certo</v>
      </c>
      <c r="F65" s="1020">
        <f>C65-D65</f>
        <v>0</v>
      </c>
      <c r="G65" s="184" t="s">
        <v>56</v>
      </c>
      <c r="H65" s="589"/>
      <c r="I65" s="589"/>
      <c r="J65" s="1"/>
      <c r="K65" s="1"/>
      <c r="L65" s="1"/>
      <c r="M65" s="1"/>
      <c r="N65" s="1"/>
      <c r="O65" s="1"/>
      <c r="P65" s="1"/>
      <c r="Q65" s="1"/>
      <c r="R65" s="1"/>
      <c r="S65" s="1"/>
      <c r="T65" s="1"/>
      <c r="U65" s="1"/>
      <c r="V65" s="1"/>
      <c r="W65" s="1"/>
      <c r="X65" s="1"/>
      <c r="Y65" s="1"/>
      <c r="Z65" s="1"/>
      <c r="AA65" s="1"/>
      <c r="AB65" s="1"/>
      <c r="AC65" s="1"/>
    </row>
    <row r="66" spans="1:29" ht="16.5" thickBot="1" x14ac:dyDescent="0.3">
      <c r="A66" s="2843"/>
      <c r="B66" s="98" t="str">
        <f>B39</f>
        <v/>
      </c>
      <c r="C66" s="1021">
        <f>F39</f>
        <v>0</v>
      </c>
      <c r="D66" s="88"/>
      <c r="E66" s="1015" t="str">
        <f>IF(D66&gt;C66,"ERRO utilizado não pode ser maior estoque","certo")</f>
        <v>certo</v>
      </c>
      <c r="F66" s="1020">
        <f>C66-D66</f>
        <v>0</v>
      </c>
      <c r="G66" s="184" t="s">
        <v>56</v>
      </c>
      <c r="H66" s="589"/>
      <c r="I66" s="589"/>
      <c r="J66" s="1"/>
      <c r="K66" s="1"/>
      <c r="L66" s="1"/>
      <c r="M66" s="1"/>
      <c r="N66" s="1"/>
      <c r="O66" s="1"/>
      <c r="P66" s="1"/>
      <c r="Q66" s="1"/>
      <c r="R66" s="1"/>
      <c r="S66" s="1"/>
      <c r="T66" s="1"/>
      <c r="U66" s="1"/>
      <c r="V66" s="1"/>
      <c r="W66" s="1"/>
      <c r="X66" s="1"/>
      <c r="Y66" s="1"/>
      <c r="Z66" s="1"/>
      <c r="AA66" s="1"/>
      <c r="AB66" s="1"/>
      <c r="AC66" s="1"/>
    </row>
    <row r="67" spans="1:29" ht="16.5" thickBot="1" x14ac:dyDescent="0.25">
      <c r="A67" s="1212"/>
      <c r="B67" s="1213"/>
      <c r="C67" s="1213"/>
      <c r="D67" s="1213">
        <v>0</v>
      </c>
      <c r="E67" s="28"/>
      <c r="F67" s="175"/>
      <c r="G67" s="184" t="s">
        <v>56</v>
      </c>
      <c r="H67" s="589"/>
      <c r="I67" s="589"/>
      <c r="J67" s="1"/>
      <c r="K67" s="1"/>
      <c r="L67" s="1"/>
      <c r="M67" s="1"/>
      <c r="N67" s="1"/>
      <c r="O67" s="1"/>
      <c r="P67" s="1"/>
      <c r="Q67" s="1"/>
      <c r="R67" s="1"/>
      <c r="S67" s="1"/>
      <c r="T67" s="1"/>
      <c r="U67" s="1"/>
      <c r="V67" s="1"/>
      <c r="W67" s="1"/>
      <c r="X67" s="1"/>
      <c r="Y67" s="1"/>
      <c r="Z67" s="1"/>
      <c r="AA67" s="1"/>
      <c r="AB67" s="1"/>
      <c r="AC67" s="1"/>
    </row>
    <row r="68" spans="1:29" ht="16.5" thickBot="1" x14ac:dyDescent="0.25">
      <c r="A68" s="179"/>
      <c r="B68" s="5"/>
      <c r="C68" s="5"/>
      <c r="D68" s="5"/>
      <c r="E68" s="28"/>
      <c r="F68" s="175"/>
      <c r="G68" s="184" t="s">
        <v>56</v>
      </c>
      <c r="H68" s="589"/>
      <c r="J68" s="1"/>
      <c r="K68" s="1"/>
      <c r="L68" s="1"/>
      <c r="M68" s="1"/>
      <c r="N68" s="1"/>
      <c r="O68" s="1"/>
      <c r="P68" s="1"/>
      <c r="Q68" s="1"/>
      <c r="R68" s="1"/>
      <c r="S68" s="1"/>
      <c r="T68" s="1"/>
      <c r="U68" s="1"/>
      <c r="V68" s="1"/>
      <c r="W68" s="1"/>
      <c r="X68" s="1"/>
      <c r="Y68" s="1"/>
      <c r="Z68" s="1"/>
      <c r="AA68" s="1"/>
      <c r="AB68" s="1"/>
      <c r="AC68" s="1"/>
    </row>
    <row r="69" spans="1:29" ht="31.5" x14ac:dyDescent="0.25">
      <c r="A69" s="3139" t="s">
        <v>138</v>
      </c>
      <c r="B69" s="180" t="s">
        <v>135</v>
      </c>
      <c r="C69" s="181" t="s">
        <v>133</v>
      </c>
      <c r="D69" s="181" t="s">
        <v>136</v>
      </c>
      <c r="E69" s="182" t="s">
        <v>134</v>
      </c>
      <c r="F69" s="1209"/>
      <c r="G69" s="184" t="s">
        <v>56</v>
      </c>
      <c r="J69" s="1"/>
      <c r="K69" s="1"/>
      <c r="L69" s="1"/>
      <c r="M69" s="1"/>
      <c r="N69" s="1"/>
      <c r="O69" s="1"/>
      <c r="P69" s="1"/>
      <c r="Q69" s="1"/>
      <c r="R69" s="1"/>
      <c r="S69" s="1"/>
      <c r="T69" s="1"/>
      <c r="U69" s="1"/>
      <c r="V69" s="1"/>
      <c r="W69" s="1"/>
      <c r="X69" s="1"/>
      <c r="Y69" s="1"/>
      <c r="Z69" s="1"/>
      <c r="AA69" s="1"/>
      <c r="AB69" s="1"/>
      <c r="AC69" s="1"/>
    </row>
    <row r="70" spans="1:29" x14ac:dyDescent="0.2">
      <c r="A70" s="2842"/>
      <c r="B70" s="76"/>
      <c r="C70" s="77"/>
      <c r="D70" s="62"/>
      <c r="E70" s="78">
        <f>C70*D70</f>
        <v>0</v>
      </c>
      <c r="F70" s="4"/>
      <c r="G70" s="184" t="s">
        <v>56</v>
      </c>
      <c r="J70" s="1"/>
      <c r="K70" s="1"/>
      <c r="L70" s="1"/>
      <c r="M70" s="1"/>
      <c r="N70" s="1"/>
      <c r="O70" s="1"/>
      <c r="P70" s="1"/>
      <c r="Q70" s="1"/>
      <c r="R70" s="1"/>
      <c r="S70" s="1"/>
      <c r="T70" s="1"/>
      <c r="U70" s="1"/>
      <c r="V70" s="1"/>
      <c r="W70" s="1"/>
      <c r="X70" s="1"/>
      <c r="Y70" s="1"/>
      <c r="Z70" s="1"/>
      <c r="AA70" s="1"/>
      <c r="AB70" s="1"/>
      <c r="AC70" s="1"/>
    </row>
    <row r="71" spans="1:29" x14ac:dyDescent="0.2">
      <c r="A71" s="2842"/>
      <c r="B71" s="76"/>
      <c r="C71" s="77"/>
      <c r="D71" s="62"/>
      <c r="E71" s="78">
        <f>C71*D71</f>
        <v>0</v>
      </c>
      <c r="F71" s="4"/>
      <c r="G71" s="184" t="s">
        <v>56</v>
      </c>
      <c r="J71" s="1"/>
      <c r="K71" s="1"/>
      <c r="L71" s="1"/>
      <c r="M71" s="1"/>
      <c r="N71" s="1"/>
      <c r="O71" s="1"/>
      <c r="P71" s="1"/>
      <c r="Q71" s="1"/>
      <c r="R71" s="1"/>
      <c r="S71" s="1"/>
      <c r="T71" s="1"/>
      <c r="U71" s="1"/>
      <c r="V71" s="1"/>
      <c r="W71" s="1"/>
      <c r="X71" s="1"/>
      <c r="Y71" s="1"/>
      <c r="Z71" s="1"/>
      <c r="AA71" s="1"/>
      <c r="AB71" s="1"/>
      <c r="AC71" s="1"/>
    </row>
    <row r="72" spans="1:29" x14ac:dyDescent="0.2">
      <c r="A72" s="2842"/>
      <c r="B72" s="76"/>
      <c r="C72" s="77"/>
      <c r="D72" s="62"/>
      <c r="E72" s="78">
        <f>C72*D72</f>
        <v>0</v>
      </c>
      <c r="F72" s="4"/>
      <c r="G72" s="184" t="s">
        <v>56</v>
      </c>
      <c r="J72" s="1"/>
      <c r="K72" s="1"/>
      <c r="L72" s="1"/>
      <c r="M72" s="1"/>
      <c r="N72" s="1"/>
      <c r="O72" s="1"/>
      <c r="P72" s="1"/>
      <c r="Q72" s="1"/>
      <c r="R72" s="1"/>
      <c r="S72" s="1"/>
      <c r="T72" s="1"/>
      <c r="U72" s="1"/>
      <c r="V72" s="1"/>
      <c r="W72" s="1"/>
      <c r="X72" s="1"/>
      <c r="Y72" s="1"/>
      <c r="Z72" s="1"/>
      <c r="AA72" s="1"/>
      <c r="AB72" s="1"/>
      <c r="AC72" s="1"/>
    </row>
    <row r="73" spans="1:29" x14ac:dyDescent="0.2">
      <c r="A73" s="2842"/>
      <c r="B73" s="76"/>
      <c r="C73" s="77"/>
      <c r="D73" s="62"/>
      <c r="E73" s="78">
        <f>C73*D73</f>
        <v>0</v>
      </c>
      <c r="F73" s="4"/>
      <c r="G73" s="184" t="s">
        <v>56</v>
      </c>
      <c r="J73" s="1"/>
      <c r="K73" s="1"/>
      <c r="L73" s="1"/>
      <c r="M73" s="1"/>
      <c r="N73" s="1"/>
      <c r="O73" s="1"/>
      <c r="P73" s="1"/>
      <c r="Q73" s="1"/>
      <c r="R73" s="1"/>
      <c r="S73" s="1"/>
      <c r="T73" s="1"/>
      <c r="U73" s="1"/>
      <c r="V73" s="1"/>
      <c r="W73" s="1"/>
      <c r="X73" s="1"/>
      <c r="Y73" s="1"/>
      <c r="Z73" s="1"/>
      <c r="AA73" s="1"/>
      <c r="AB73" s="1"/>
      <c r="AC73" s="1"/>
    </row>
    <row r="74" spans="1:29" ht="15.75" thickBot="1" x14ac:dyDescent="0.25">
      <c r="A74" s="2842"/>
      <c r="B74" s="76"/>
      <c r="C74" s="79"/>
      <c r="D74" s="38"/>
      <c r="E74" s="80">
        <f>C74*D74</f>
        <v>0</v>
      </c>
      <c r="F74" s="4"/>
      <c r="G74" s="184" t="s">
        <v>56</v>
      </c>
      <c r="J74" s="1"/>
      <c r="K74" s="1"/>
      <c r="L74" s="1"/>
      <c r="M74" s="1"/>
      <c r="N74" s="1"/>
      <c r="O74" s="1"/>
      <c r="P74" s="1"/>
      <c r="Q74" s="1"/>
      <c r="R74" s="1"/>
      <c r="S74" s="1"/>
      <c r="T74" s="1"/>
      <c r="U74" s="1"/>
      <c r="V74" s="1"/>
      <c r="W74" s="1"/>
      <c r="X74" s="1"/>
      <c r="Y74" s="1"/>
      <c r="Z74" s="1"/>
      <c r="AA74" s="1"/>
      <c r="AB74" s="1"/>
      <c r="AC74" s="1"/>
    </row>
    <row r="75" spans="1:29" ht="16.5" thickBot="1" x14ac:dyDescent="0.3">
      <c r="A75" s="2843"/>
      <c r="B75" s="170"/>
      <c r="C75" s="100">
        <f>SUM(C70:C74)</f>
        <v>0</v>
      </c>
      <c r="D75" s="171" t="s">
        <v>60</v>
      </c>
      <c r="E75" s="81">
        <f>SUM(E70:E74)</f>
        <v>0</v>
      </c>
      <c r="F75" s="4"/>
      <c r="G75" s="184" t="s">
        <v>56</v>
      </c>
      <c r="J75" s="1"/>
      <c r="K75" s="1"/>
      <c r="L75" s="1"/>
      <c r="M75" s="1"/>
      <c r="N75" s="1"/>
      <c r="O75" s="1"/>
      <c r="P75" s="1"/>
      <c r="Q75" s="1"/>
      <c r="R75" s="1"/>
      <c r="S75" s="1"/>
      <c r="T75" s="1"/>
      <c r="U75" s="1"/>
      <c r="V75" s="1"/>
      <c r="W75" s="1"/>
      <c r="X75" s="1"/>
      <c r="Y75" s="1"/>
      <c r="Z75" s="1"/>
      <c r="AA75" s="1"/>
      <c r="AB75" s="1"/>
      <c r="AC75" s="1"/>
    </row>
    <row r="76" spans="1:29" ht="15.75" x14ac:dyDescent="0.25">
      <c r="A76" s="179"/>
      <c r="B76" s="5"/>
      <c r="C76" s="183"/>
      <c r="D76" s="19"/>
      <c r="E76" s="99"/>
      <c r="F76" s="4"/>
      <c r="G76" s="184" t="s">
        <v>56</v>
      </c>
      <c r="J76" s="1"/>
      <c r="K76" s="1"/>
      <c r="L76" s="1"/>
      <c r="M76" s="1"/>
      <c r="N76" s="1"/>
      <c r="O76" s="1"/>
      <c r="P76" s="1"/>
      <c r="Q76" s="1"/>
      <c r="R76" s="1"/>
      <c r="S76" s="1"/>
      <c r="T76" s="1"/>
      <c r="U76" s="1"/>
      <c r="V76" s="1"/>
      <c r="W76" s="1"/>
      <c r="X76" s="1"/>
      <c r="Y76" s="1"/>
      <c r="Z76" s="1"/>
      <c r="AA76" s="1"/>
      <c r="AB76" s="1"/>
      <c r="AC76" s="1"/>
    </row>
    <row r="77" spans="1:29" ht="15.75" thickBot="1" x14ac:dyDescent="0.25">
      <c r="A77" s="3"/>
      <c r="B77" s="5"/>
      <c r="C77" s="5"/>
      <c r="D77" s="5"/>
      <c r="E77" s="5"/>
      <c r="F77" s="4"/>
      <c r="G77" s="184" t="s">
        <v>56</v>
      </c>
      <c r="J77" s="1"/>
      <c r="K77" s="1"/>
      <c r="L77" s="1"/>
      <c r="M77" s="1"/>
      <c r="N77" s="1"/>
      <c r="O77" s="1"/>
      <c r="P77" s="1"/>
      <c r="Q77" s="1"/>
      <c r="R77" s="1"/>
      <c r="S77" s="1"/>
      <c r="T77" s="1"/>
      <c r="U77" s="1"/>
      <c r="V77" s="1"/>
      <c r="W77" s="1"/>
      <c r="X77" s="1"/>
      <c r="Y77" s="1"/>
      <c r="Z77" s="1"/>
      <c r="AA77" s="1"/>
      <c r="AB77" s="1"/>
      <c r="AC77" s="1"/>
    </row>
    <row r="78" spans="1:29" ht="30.75" thickBot="1" x14ac:dyDescent="0.25">
      <c r="A78" s="3139" t="s">
        <v>139</v>
      </c>
      <c r="B78" s="185" t="s">
        <v>116</v>
      </c>
      <c r="C78" s="186" t="s">
        <v>36</v>
      </c>
      <c r="D78" s="162" t="s">
        <v>37</v>
      </c>
      <c r="E78" s="187" t="s">
        <v>117</v>
      </c>
      <c r="F78" s="163" t="s">
        <v>118</v>
      </c>
      <c r="G78" s="184" t="s">
        <v>56</v>
      </c>
      <c r="J78" s="1"/>
      <c r="K78" s="1"/>
      <c r="L78" s="1"/>
      <c r="M78" s="1"/>
      <c r="N78" s="1"/>
      <c r="O78" s="1"/>
      <c r="P78" s="1"/>
      <c r="Q78" s="1"/>
      <c r="R78" s="1"/>
      <c r="S78" s="1"/>
      <c r="T78" s="1"/>
      <c r="U78" s="1"/>
      <c r="V78" s="1"/>
      <c r="W78" s="1"/>
      <c r="X78" s="1"/>
      <c r="Y78" s="1"/>
      <c r="Z78" s="1"/>
      <c r="AA78" s="1"/>
      <c r="AB78" s="1"/>
      <c r="AC78" s="1"/>
    </row>
    <row r="79" spans="1:29" x14ac:dyDescent="0.2">
      <c r="A79" s="2842"/>
      <c r="B79" s="9"/>
      <c r="C79" s="8"/>
      <c r="D79" s="86"/>
      <c r="E79" s="93"/>
      <c r="F79" s="101">
        <f>D79*E79</f>
        <v>0</v>
      </c>
      <c r="G79" s="184" t="s">
        <v>56</v>
      </c>
      <c r="J79" s="1"/>
      <c r="K79" s="1"/>
      <c r="L79" s="1"/>
      <c r="M79" s="1"/>
      <c r="N79" s="1"/>
      <c r="O79" s="1"/>
      <c r="P79" s="1"/>
      <c r="Q79" s="1"/>
      <c r="R79" s="1"/>
      <c r="S79" s="1"/>
      <c r="T79" s="1"/>
      <c r="U79" s="1"/>
      <c r="V79" s="1"/>
      <c r="W79" s="1"/>
      <c r="X79" s="1"/>
      <c r="Y79" s="1"/>
      <c r="Z79" s="1"/>
      <c r="AA79" s="1"/>
      <c r="AB79" s="1"/>
      <c r="AC79" s="1"/>
    </row>
    <row r="80" spans="1:29" x14ac:dyDescent="0.2">
      <c r="A80" s="2842"/>
      <c r="B80" s="12"/>
      <c r="C80" s="6"/>
      <c r="D80" s="37"/>
      <c r="E80" s="62"/>
      <c r="F80" s="102">
        <f>D80*E80</f>
        <v>0</v>
      </c>
      <c r="G80" s="184" t="s">
        <v>56</v>
      </c>
      <c r="J80" s="1"/>
      <c r="K80" s="1"/>
      <c r="L80" s="1"/>
      <c r="M80" s="1"/>
      <c r="N80" s="1"/>
      <c r="O80" s="1"/>
      <c r="P80" s="1"/>
      <c r="Q80" s="1"/>
      <c r="R80" s="1"/>
      <c r="S80" s="1"/>
      <c r="T80" s="1"/>
      <c r="U80" s="1"/>
      <c r="V80" s="1"/>
      <c r="W80" s="1"/>
      <c r="X80" s="1"/>
      <c r="Y80" s="1"/>
      <c r="Z80" s="1"/>
      <c r="AA80" s="1"/>
      <c r="AB80" s="1"/>
      <c r="AC80" s="1"/>
    </row>
    <row r="81" spans="1:29" x14ac:dyDescent="0.2">
      <c r="A81" s="2842"/>
      <c r="B81" s="12"/>
      <c r="C81" s="6"/>
      <c r="D81" s="37"/>
      <c r="E81" s="62"/>
      <c r="F81" s="102">
        <f>D81*E81</f>
        <v>0</v>
      </c>
      <c r="G81" s="184" t="s">
        <v>56</v>
      </c>
      <c r="J81" s="1"/>
      <c r="K81" s="1"/>
      <c r="L81" s="1"/>
      <c r="M81" s="1"/>
      <c r="N81" s="1"/>
      <c r="O81" s="1"/>
      <c r="P81" s="1"/>
      <c r="Q81" s="1"/>
      <c r="R81" s="1"/>
      <c r="S81" s="1"/>
      <c r="T81" s="1"/>
      <c r="U81" s="1"/>
      <c r="V81" s="1"/>
      <c r="W81" s="1"/>
      <c r="X81" s="1"/>
      <c r="Y81" s="1"/>
      <c r="Z81" s="1"/>
      <c r="AA81" s="1"/>
      <c r="AB81" s="1"/>
      <c r="AC81" s="1"/>
    </row>
    <row r="82" spans="1:29" x14ac:dyDescent="0.2">
      <c r="A82" s="2842"/>
      <c r="B82" s="12"/>
      <c r="C82" s="6"/>
      <c r="D82" s="6"/>
      <c r="E82" s="31"/>
      <c r="F82" s="102">
        <f>D82*E82</f>
        <v>0</v>
      </c>
      <c r="G82" s="184" t="s">
        <v>56</v>
      </c>
      <c r="J82" s="1"/>
      <c r="K82" s="1"/>
      <c r="L82" s="1"/>
      <c r="M82" s="1"/>
      <c r="N82" s="1"/>
      <c r="O82" s="1"/>
      <c r="P82" s="1"/>
      <c r="Q82" s="1"/>
      <c r="R82" s="1"/>
      <c r="S82" s="1"/>
      <c r="T82" s="1"/>
      <c r="U82" s="1"/>
      <c r="V82" s="1"/>
      <c r="W82" s="1"/>
      <c r="X82" s="1"/>
      <c r="Y82" s="1"/>
      <c r="Z82" s="1"/>
      <c r="AA82" s="1"/>
      <c r="AB82" s="1"/>
      <c r="AC82" s="1"/>
    </row>
    <row r="83" spans="1:29" ht="15.75" thickBot="1" x14ac:dyDescent="0.25">
      <c r="A83" s="2843"/>
      <c r="B83" s="11"/>
      <c r="C83" s="7"/>
      <c r="D83" s="7"/>
      <c r="E83" s="82"/>
      <c r="F83" s="103">
        <f>D83*E83</f>
        <v>0</v>
      </c>
      <c r="G83" s="184" t="s">
        <v>56</v>
      </c>
      <c r="J83" s="1"/>
      <c r="K83" s="1"/>
      <c r="L83" s="1"/>
      <c r="M83" s="1"/>
      <c r="N83" s="1"/>
      <c r="O83" s="1"/>
      <c r="P83" s="1"/>
      <c r="Q83" s="1"/>
      <c r="R83" s="1"/>
      <c r="S83" s="1"/>
      <c r="T83" s="1"/>
      <c r="U83" s="1"/>
      <c r="V83" s="1"/>
      <c r="W83" s="1"/>
      <c r="X83" s="1"/>
      <c r="Y83" s="1"/>
      <c r="Z83" s="1"/>
      <c r="AA83" s="1"/>
      <c r="AB83" s="1"/>
      <c r="AC83" s="1"/>
    </row>
    <row r="84" spans="1:29" ht="15.75" thickBot="1" x14ac:dyDescent="0.25">
      <c r="A84" s="18"/>
      <c r="B84" s="10"/>
      <c r="C84" s="10"/>
      <c r="D84" s="10"/>
      <c r="E84" s="64" t="s">
        <v>70</v>
      </c>
      <c r="F84" s="164">
        <f>SUM(F79:F83)</f>
        <v>0</v>
      </c>
      <c r="G84" s="184" t="s">
        <v>56</v>
      </c>
      <c r="J84" s="447">
        <f>F84+E75</f>
        <v>0</v>
      </c>
      <c r="K84" s="1"/>
      <c r="L84" s="1"/>
      <c r="M84" s="1"/>
      <c r="N84" s="1"/>
      <c r="O84" s="1"/>
      <c r="P84" s="1"/>
      <c r="Q84" s="1"/>
      <c r="R84" s="1"/>
      <c r="S84" s="1"/>
      <c r="T84" s="1"/>
      <c r="U84" s="1"/>
      <c r="V84" s="1"/>
      <c r="W84" s="1"/>
      <c r="X84" s="1"/>
      <c r="Y84" s="1"/>
      <c r="Z84" s="1"/>
      <c r="AA84" s="1"/>
      <c r="AB84" s="1"/>
      <c r="AC84" s="1"/>
    </row>
    <row r="85" spans="1:29" x14ac:dyDescent="0.2">
      <c r="A85" s="184" t="s">
        <v>56</v>
      </c>
      <c r="B85" s="184" t="s">
        <v>56</v>
      </c>
      <c r="C85" s="184" t="s">
        <v>56</v>
      </c>
      <c r="D85" s="184" t="s">
        <v>56</v>
      </c>
      <c r="E85" s="184" t="s">
        <v>56</v>
      </c>
      <c r="F85" s="184" t="s">
        <v>56</v>
      </c>
      <c r="G85" s="184" t="s">
        <v>56</v>
      </c>
      <c r="J85" s="1"/>
      <c r="K85" s="1"/>
      <c r="L85" s="1"/>
      <c r="M85" s="1"/>
      <c r="N85" s="1"/>
      <c r="O85" s="1"/>
      <c r="P85" s="1"/>
      <c r="Q85" s="1"/>
      <c r="R85" s="1"/>
      <c r="S85" s="1"/>
      <c r="T85" s="1"/>
      <c r="U85" s="1"/>
      <c r="V85" s="1"/>
      <c r="W85" s="1"/>
      <c r="X85" s="1"/>
      <c r="Y85" s="1"/>
      <c r="Z85" s="1"/>
      <c r="AA85" s="1"/>
      <c r="AB85" s="1"/>
      <c r="AC85" s="1"/>
    </row>
    <row r="86" spans="1:29" x14ac:dyDescent="0.2">
      <c r="A86" s="184" t="s">
        <v>56</v>
      </c>
      <c r="B86" s="184" t="s">
        <v>56</v>
      </c>
      <c r="C86" s="184" t="s">
        <v>56</v>
      </c>
      <c r="D86" s="184" t="s">
        <v>56</v>
      </c>
      <c r="E86" s="184" t="s">
        <v>56</v>
      </c>
      <c r="F86" s="184" t="s">
        <v>56</v>
      </c>
      <c r="G86" s="184" t="s">
        <v>56</v>
      </c>
      <c r="J86" s="1"/>
      <c r="K86" s="1"/>
      <c r="L86" s="1"/>
      <c r="M86" s="1"/>
      <c r="N86" s="1"/>
      <c r="O86" s="1"/>
      <c r="P86" s="1"/>
      <c r="Q86" s="1"/>
      <c r="R86" s="1"/>
      <c r="S86" s="1"/>
      <c r="T86" s="1"/>
      <c r="U86" s="1"/>
      <c r="V86" s="1"/>
      <c r="W86" s="1"/>
      <c r="X86" s="1"/>
      <c r="Y86" s="1"/>
      <c r="Z86" s="1"/>
      <c r="AA86" s="1"/>
      <c r="AB86" s="1"/>
      <c r="AC86" s="1"/>
    </row>
    <row r="87" spans="1:29" ht="15.75" thickBot="1" x14ac:dyDescent="0.25">
      <c r="A87" s="1"/>
      <c r="B87" s="1"/>
      <c r="C87" s="1"/>
      <c r="D87" s="1"/>
      <c r="E87" s="1"/>
      <c r="F87" s="1"/>
      <c r="J87" s="1"/>
      <c r="K87" s="1"/>
      <c r="L87" s="1"/>
      <c r="M87" s="1"/>
      <c r="N87" s="1"/>
      <c r="O87" s="1"/>
      <c r="P87" s="1"/>
      <c r="Q87" s="1"/>
      <c r="R87" s="1"/>
      <c r="S87" s="1"/>
      <c r="T87" s="1"/>
      <c r="U87" s="1"/>
      <c r="V87" s="1"/>
      <c r="W87" s="1"/>
      <c r="X87" s="1"/>
      <c r="Y87" s="1"/>
      <c r="Z87" s="1"/>
      <c r="AA87" s="1"/>
      <c r="AB87" s="1"/>
      <c r="AC87" s="1"/>
    </row>
    <row r="88" spans="1:29" ht="16.5" thickBot="1" x14ac:dyDescent="0.3">
      <c r="A88" s="153" t="s">
        <v>163</v>
      </c>
      <c r="B88" s="566"/>
      <c r="C88" s="1111"/>
      <c r="D88" s="104">
        <f>F84+E75+F57+E48+F28+E19</f>
        <v>0</v>
      </c>
      <c r="E88" s="1"/>
      <c r="F88" s="1"/>
      <c r="J88" s="1"/>
      <c r="K88" s="1"/>
      <c r="L88" s="1"/>
      <c r="M88" s="1"/>
      <c r="N88" s="1"/>
      <c r="O88" s="1"/>
      <c r="P88" s="1"/>
      <c r="Q88" s="1"/>
      <c r="R88" s="1"/>
      <c r="S88" s="1"/>
      <c r="T88" s="1"/>
      <c r="U88" s="1"/>
      <c r="V88" s="1"/>
      <c r="W88" s="1"/>
      <c r="X88" s="1"/>
      <c r="Y88" s="1"/>
      <c r="Z88" s="1"/>
      <c r="AA88" s="1"/>
      <c r="AB88" s="1"/>
      <c r="AC88" s="1"/>
    </row>
    <row r="89" spans="1:29" x14ac:dyDescent="0.2">
      <c r="A89" s="1"/>
      <c r="B89" s="1"/>
      <c r="C89" s="1"/>
      <c r="D89" s="1"/>
      <c r="E89" s="1"/>
      <c r="F89" s="1"/>
      <c r="J89" s="1"/>
      <c r="K89" s="1"/>
      <c r="L89" s="1"/>
      <c r="M89" s="1"/>
      <c r="N89" s="1"/>
      <c r="O89" s="1"/>
      <c r="P89" s="1"/>
      <c r="Q89" s="1"/>
      <c r="R89" s="1"/>
      <c r="S89" s="1"/>
      <c r="T89" s="1"/>
      <c r="U89" s="1"/>
      <c r="V89" s="1"/>
      <c r="W89" s="1"/>
      <c r="X89" s="1"/>
      <c r="Y89" s="1"/>
      <c r="Z89" s="1"/>
      <c r="AA89" s="1"/>
      <c r="AB89" s="1"/>
      <c r="AC89" s="1"/>
    </row>
    <row r="90" spans="1:29" x14ac:dyDescent="0.2">
      <c r="A90" s="1"/>
      <c r="B90" s="1"/>
      <c r="C90" s="1"/>
      <c r="D90" s="1"/>
      <c r="E90" s="1"/>
      <c r="F90" s="1"/>
      <c r="J90" s="1"/>
      <c r="K90" s="1"/>
      <c r="L90" s="1"/>
      <c r="M90" s="1"/>
      <c r="N90" s="1"/>
      <c r="O90" s="1"/>
      <c r="P90" s="1"/>
      <c r="Q90" s="1"/>
      <c r="R90" s="1"/>
      <c r="S90" s="1"/>
      <c r="T90" s="1"/>
      <c r="U90" s="1"/>
      <c r="V90" s="1"/>
      <c r="W90" s="1"/>
      <c r="X90" s="1"/>
      <c r="Y90" s="1"/>
      <c r="Z90" s="1"/>
      <c r="AA90" s="1"/>
      <c r="AB90" s="1"/>
      <c r="AC90" s="1"/>
    </row>
    <row r="91" spans="1:29" x14ac:dyDescent="0.2">
      <c r="A91" s="1"/>
      <c r="B91" s="1"/>
      <c r="C91" s="1"/>
      <c r="D91" s="583"/>
      <c r="E91" s="1"/>
      <c r="F91" s="1"/>
      <c r="J91" s="1"/>
      <c r="K91" s="1"/>
      <c r="L91" s="1"/>
      <c r="M91" s="1"/>
      <c r="N91" s="1"/>
      <c r="O91" s="1"/>
      <c r="P91" s="1"/>
      <c r="Q91" s="1"/>
      <c r="R91" s="1"/>
      <c r="S91" s="1"/>
      <c r="T91" s="1"/>
      <c r="U91" s="1"/>
      <c r="V91" s="1"/>
      <c r="W91" s="1"/>
      <c r="X91" s="1"/>
      <c r="Y91" s="1"/>
      <c r="Z91" s="1"/>
      <c r="AA91" s="1"/>
      <c r="AB91" s="1"/>
      <c r="AC91" s="1"/>
    </row>
    <row r="92" spans="1:29" x14ac:dyDescent="0.2">
      <c r="A92" s="1"/>
      <c r="B92" s="1"/>
      <c r="C92" s="1"/>
      <c r="D92" s="1"/>
      <c r="E92" s="1"/>
      <c r="F92" s="1"/>
      <c r="J92" s="1"/>
      <c r="K92" s="1"/>
      <c r="L92" s="1"/>
      <c r="M92" s="1"/>
      <c r="N92" s="1"/>
      <c r="O92" s="1"/>
      <c r="P92" s="1"/>
      <c r="Q92" s="1"/>
      <c r="R92" s="1"/>
      <c r="S92" s="1"/>
      <c r="T92" s="1"/>
      <c r="U92" s="1"/>
      <c r="V92" s="1"/>
      <c r="W92" s="1"/>
      <c r="X92" s="1"/>
      <c r="Y92" s="1"/>
      <c r="Z92" s="1"/>
      <c r="AA92" s="1"/>
      <c r="AB92" s="1"/>
      <c r="AC92" s="1"/>
    </row>
    <row r="93" spans="1:29" x14ac:dyDescent="0.2">
      <c r="J93" s="1"/>
      <c r="K93" s="1"/>
      <c r="L93" s="1"/>
      <c r="M93" s="1"/>
      <c r="N93" s="1"/>
      <c r="O93" s="1"/>
      <c r="P93" s="1"/>
      <c r="Q93" s="1"/>
      <c r="R93" s="1"/>
      <c r="S93" s="1"/>
      <c r="T93" s="1"/>
      <c r="U93" s="1"/>
      <c r="V93" s="1"/>
      <c r="W93" s="1"/>
      <c r="X93" s="1"/>
      <c r="Y93" s="1"/>
      <c r="Z93" s="1"/>
      <c r="AA93" s="1"/>
      <c r="AB93" s="1"/>
      <c r="AC93" s="1"/>
    </row>
    <row r="94" spans="1:29" x14ac:dyDescent="0.2">
      <c r="J94" s="1"/>
      <c r="K94" s="1"/>
      <c r="L94" s="1"/>
      <c r="M94" s="1"/>
      <c r="N94" s="1"/>
      <c r="O94" s="1"/>
      <c r="P94" s="1"/>
      <c r="Q94" s="1"/>
      <c r="R94" s="1"/>
      <c r="S94" s="1"/>
      <c r="T94" s="1"/>
      <c r="U94" s="1"/>
      <c r="V94" s="1"/>
      <c r="W94" s="1"/>
      <c r="X94" s="1"/>
      <c r="Y94" s="1"/>
      <c r="Z94" s="1"/>
      <c r="AA94" s="1"/>
      <c r="AB94" s="1"/>
      <c r="AC94" s="1"/>
    </row>
    <row r="95" spans="1:29" x14ac:dyDescent="0.2">
      <c r="J95" s="1"/>
      <c r="K95" s="1"/>
      <c r="L95" s="1"/>
      <c r="M95" s="1"/>
      <c r="N95" s="1"/>
      <c r="O95" s="1"/>
      <c r="P95" s="1"/>
      <c r="Q95" s="1"/>
      <c r="R95" s="1"/>
      <c r="S95" s="1"/>
      <c r="T95" s="1"/>
      <c r="U95" s="1"/>
      <c r="V95" s="1"/>
      <c r="W95" s="1"/>
      <c r="X95" s="1"/>
      <c r="Y95" s="1"/>
      <c r="Z95" s="1"/>
      <c r="AA95" s="1"/>
      <c r="AB95" s="1"/>
      <c r="AC95" s="1"/>
    </row>
    <row r="96" spans="1:29" x14ac:dyDescent="0.2">
      <c r="J96" s="1"/>
      <c r="K96" s="1"/>
      <c r="L96" s="1"/>
      <c r="M96" s="1"/>
      <c r="N96" s="1"/>
      <c r="O96" s="1"/>
      <c r="P96" s="1"/>
      <c r="Q96" s="1"/>
      <c r="R96" s="1"/>
      <c r="S96" s="1"/>
      <c r="T96" s="1"/>
      <c r="U96" s="1"/>
      <c r="V96" s="1"/>
      <c r="W96" s="1"/>
      <c r="X96" s="1"/>
      <c r="Y96" s="1"/>
      <c r="Z96" s="1"/>
      <c r="AA96" s="1"/>
      <c r="AB96" s="1"/>
      <c r="AC96" s="1"/>
    </row>
    <row r="97" spans="10:29" x14ac:dyDescent="0.2">
      <c r="J97" s="1"/>
      <c r="K97" s="1"/>
      <c r="L97" s="1"/>
      <c r="M97" s="1"/>
      <c r="N97" s="1"/>
      <c r="O97" s="1"/>
      <c r="P97" s="1"/>
      <c r="Q97" s="1"/>
      <c r="R97" s="1"/>
      <c r="S97" s="1"/>
      <c r="T97" s="1"/>
      <c r="U97" s="1"/>
      <c r="V97" s="1"/>
      <c r="W97" s="1"/>
      <c r="X97" s="1"/>
      <c r="Y97" s="1"/>
      <c r="Z97" s="1"/>
      <c r="AA97" s="1"/>
      <c r="AB97" s="1"/>
      <c r="AC97" s="1"/>
    </row>
    <row r="98" spans="10:29" x14ac:dyDescent="0.2">
      <c r="J98" s="1"/>
      <c r="K98" s="1"/>
      <c r="L98" s="1"/>
      <c r="M98" s="1"/>
      <c r="N98" s="1"/>
      <c r="O98" s="1"/>
      <c r="P98" s="1"/>
      <c r="Q98" s="1"/>
      <c r="R98" s="1"/>
      <c r="S98" s="1"/>
      <c r="T98" s="1"/>
      <c r="U98" s="1"/>
      <c r="V98" s="1"/>
      <c r="W98" s="1"/>
      <c r="X98" s="1"/>
      <c r="Y98" s="1"/>
      <c r="Z98" s="1"/>
      <c r="AA98" s="1"/>
      <c r="AB98" s="1"/>
      <c r="AC98" s="1"/>
    </row>
    <row r="99" spans="10:29" x14ac:dyDescent="0.2">
      <c r="J99" s="1"/>
      <c r="K99" s="1"/>
      <c r="L99" s="1"/>
      <c r="M99" s="1"/>
      <c r="N99" s="1"/>
      <c r="O99" s="1"/>
      <c r="P99" s="1"/>
      <c r="Q99" s="1"/>
      <c r="R99" s="1"/>
      <c r="S99" s="1"/>
      <c r="T99" s="1"/>
      <c r="U99" s="1"/>
      <c r="V99" s="1"/>
      <c r="W99" s="1"/>
      <c r="X99" s="1"/>
      <c r="Y99" s="1"/>
      <c r="Z99" s="1"/>
      <c r="AA99" s="1"/>
      <c r="AB99" s="1"/>
      <c r="AC99" s="1"/>
    </row>
    <row r="100" spans="10:29" x14ac:dyDescent="0.2">
      <c r="J100" s="1"/>
      <c r="K100" s="1"/>
      <c r="L100" s="1"/>
      <c r="M100" s="1"/>
      <c r="N100" s="1"/>
      <c r="O100" s="1"/>
      <c r="P100" s="1"/>
      <c r="Q100" s="1"/>
      <c r="R100" s="1"/>
      <c r="S100" s="1"/>
      <c r="T100" s="1"/>
      <c r="U100" s="1"/>
      <c r="V100" s="1"/>
      <c r="W100" s="1"/>
      <c r="X100" s="1"/>
      <c r="Y100" s="1"/>
      <c r="Z100" s="1"/>
      <c r="AA100" s="1"/>
      <c r="AB100" s="1"/>
      <c r="AC100" s="1"/>
    </row>
    <row r="101" spans="10:29" x14ac:dyDescent="0.2">
      <c r="J101" s="1"/>
      <c r="K101" s="1"/>
      <c r="L101" s="1"/>
      <c r="M101" s="1"/>
      <c r="N101" s="1"/>
      <c r="O101" s="1"/>
      <c r="P101" s="1"/>
      <c r="Q101" s="1"/>
      <c r="R101" s="1"/>
      <c r="S101" s="1"/>
      <c r="T101" s="1"/>
      <c r="U101" s="1"/>
      <c r="V101" s="1"/>
      <c r="W101" s="1"/>
      <c r="X101" s="1"/>
      <c r="Y101" s="1"/>
      <c r="Z101" s="1"/>
      <c r="AA101" s="1"/>
      <c r="AB101" s="1"/>
      <c r="AC101" s="1"/>
    </row>
    <row r="102" spans="10:29" x14ac:dyDescent="0.2">
      <c r="J102" s="1"/>
      <c r="K102" s="1"/>
      <c r="L102" s="1"/>
      <c r="M102" s="1"/>
      <c r="N102" s="1"/>
      <c r="O102" s="1"/>
      <c r="P102" s="1"/>
      <c r="Q102" s="1"/>
      <c r="R102" s="1"/>
      <c r="S102" s="1"/>
      <c r="T102" s="1"/>
      <c r="U102" s="1"/>
      <c r="V102" s="1"/>
      <c r="W102" s="1"/>
      <c r="X102" s="1"/>
      <c r="Y102" s="1"/>
      <c r="Z102" s="1"/>
      <c r="AA102" s="1"/>
      <c r="AB102" s="1"/>
      <c r="AC102" s="1"/>
    </row>
    <row r="103" spans="10:29" x14ac:dyDescent="0.2">
      <c r="J103" s="1"/>
      <c r="K103" s="1"/>
      <c r="L103" s="1"/>
      <c r="M103" s="1"/>
      <c r="N103" s="1"/>
      <c r="O103" s="1"/>
      <c r="P103" s="1"/>
      <c r="Q103" s="1"/>
      <c r="R103" s="1"/>
      <c r="S103" s="1"/>
      <c r="T103" s="1"/>
      <c r="U103" s="1"/>
      <c r="V103" s="1"/>
      <c r="W103" s="1"/>
      <c r="X103" s="1"/>
      <c r="Y103" s="1"/>
      <c r="Z103" s="1"/>
      <c r="AA103" s="1"/>
      <c r="AB103" s="1"/>
      <c r="AC103" s="1"/>
    </row>
  </sheetData>
  <sheetProtection password="85A7" sheet="1"/>
  <mergeCells count="13">
    <mergeCell ref="A78:A83"/>
    <mergeCell ref="A51:A56"/>
    <mergeCell ref="A62:A66"/>
    <mergeCell ref="A22:A27"/>
    <mergeCell ref="A35:A39"/>
    <mergeCell ref="A2:F2"/>
    <mergeCell ref="A6:A10"/>
    <mergeCell ref="A13:A19"/>
    <mergeCell ref="A69:A75"/>
    <mergeCell ref="A33:F33"/>
    <mergeCell ref="A60:F60"/>
    <mergeCell ref="A42:A48"/>
    <mergeCell ref="A4:F4"/>
  </mergeCells>
  <phoneticPr fontId="50" type="noConversion"/>
  <pageMargins left="0.24" right="0.47244094488188981" top="0.59055118110236227" bottom="0.59055118110236227" header="0.31496062992125984" footer="0.51181102362204722"/>
  <pageSetup paperSize="9" scale="80" orientation="portrait" horizontalDpi="4294967294" r:id="rId1"/>
  <headerFooter alignWithMargins="0"/>
  <rowBreaks count="1" manualBreakCount="1">
    <brk id="32"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8">
    <pageSetUpPr fitToPage="1"/>
  </sheetPr>
  <dimension ref="A1:J68"/>
  <sheetViews>
    <sheetView topLeftCell="A16" zoomScale="70" zoomScaleNormal="70" workbookViewId="0">
      <selection activeCell="C34" sqref="C34"/>
    </sheetView>
  </sheetViews>
  <sheetFormatPr defaultRowHeight="12.75" x14ac:dyDescent="0.2"/>
  <cols>
    <col min="1" max="1" width="23.28515625" customWidth="1"/>
    <col min="2" max="2" width="70.28515625" customWidth="1"/>
    <col min="3" max="3" width="16.42578125" customWidth="1"/>
    <col min="4" max="4" width="15.28515625" customWidth="1"/>
    <col min="5" max="5" width="12.5703125" hidden="1" customWidth="1"/>
    <col min="6" max="6" width="11.140625" hidden="1" customWidth="1"/>
    <col min="7" max="7" width="0" hidden="1" customWidth="1"/>
    <col min="8" max="8" width="16" customWidth="1"/>
    <col min="9" max="9" width="8.85546875" style="913" customWidth="1"/>
  </cols>
  <sheetData>
    <row r="1" spans="1:10" ht="13.5" thickBot="1" x14ac:dyDescent="0.25">
      <c r="A1" s="22" t="str">
        <f>CADASTRO!C4</f>
        <v>Digitar o nome</v>
      </c>
      <c r="B1" s="22">
        <f>CADASTRO!C12</f>
        <v>44013</v>
      </c>
      <c r="C1" s="22"/>
      <c r="D1" s="22"/>
      <c r="E1" s="22"/>
      <c r="F1" s="22"/>
      <c r="G1" s="22"/>
      <c r="H1" s="22"/>
      <c r="I1" s="863" t="s">
        <v>102</v>
      </c>
      <c r="J1" s="22"/>
    </row>
    <row r="2" spans="1:10" ht="16.5" thickBot="1" x14ac:dyDescent="0.3">
      <c r="A2" s="3170" t="s">
        <v>579</v>
      </c>
      <c r="B2" s="3171"/>
      <c r="C2" s="3172"/>
      <c r="D2" s="30"/>
      <c r="E2" s="22"/>
      <c r="F2" s="22"/>
      <c r="G2" s="22"/>
      <c r="H2" s="22"/>
      <c r="I2" s="863" t="s">
        <v>102</v>
      </c>
      <c r="J2" s="22"/>
    </row>
    <row r="3" spans="1:10" x14ac:dyDescent="0.2">
      <c r="A3" s="236"/>
      <c r="B3" s="939" t="s">
        <v>250</v>
      </c>
      <c r="C3" s="993" t="s">
        <v>251</v>
      </c>
      <c r="D3" s="30"/>
      <c r="E3" s="22"/>
      <c r="F3" s="22"/>
      <c r="G3" s="22"/>
      <c r="H3" s="22"/>
      <c r="I3" s="863" t="s">
        <v>102</v>
      </c>
      <c r="J3" s="22"/>
    </row>
    <row r="4" spans="1:10" x14ac:dyDescent="0.2">
      <c r="A4" s="997" t="s">
        <v>246</v>
      </c>
      <c r="B4" s="998">
        <f>SOLO!L98</f>
        <v>0</v>
      </c>
      <c r="C4" s="999">
        <f>SOLO!L101</f>
        <v>0</v>
      </c>
      <c r="D4" s="30"/>
      <c r="E4" s="22"/>
      <c r="F4" s="22"/>
      <c r="G4" s="22"/>
      <c r="H4" s="22"/>
      <c r="I4" s="863" t="s">
        <v>102</v>
      </c>
      <c r="J4" s="22"/>
    </row>
    <row r="5" spans="1:10" x14ac:dyDescent="0.2">
      <c r="A5" s="997" t="s">
        <v>252</v>
      </c>
      <c r="B5" s="998">
        <f>SOLO!I18+SOLO!I19+SOLO!I20</f>
        <v>0</v>
      </c>
      <c r="C5" s="1000">
        <f>SOLO!K26+SOLO!K27+SOLO!K28</f>
        <v>0</v>
      </c>
      <c r="D5" s="996" t="s">
        <v>578</v>
      </c>
      <c r="E5" s="30"/>
      <c r="F5" s="30"/>
      <c r="G5" s="30"/>
      <c r="H5" s="22"/>
      <c r="I5" s="863" t="s">
        <v>102</v>
      </c>
      <c r="J5" s="22"/>
    </row>
    <row r="6" spans="1:10" x14ac:dyDescent="0.2">
      <c r="A6" s="997" t="s">
        <v>247</v>
      </c>
      <c r="B6" s="998">
        <f>SOLO!I22+SOLO!I23</f>
        <v>0</v>
      </c>
      <c r="C6" s="1000">
        <f>B6</f>
        <v>0</v>
      </c>
      <c r="D6" s="996">
        <f>SOLO!L26</f>
        <v>0</v>
      </c>
      <c r="E6" s="30"/>
      <c r="F6" s="30"/>
      <c r="G6" s="958"/>
      <c r="H6" s="22"/>
      <c r="I6" s="863" t="s">
        <v>102</v>
      </c>
      <c r="J6" s="22"/>
    </row>
    <row r="7" spans="1:10" ht="13.5" thickBot="1" x14ac:dyDescent="0.25">
      <c r="A7" s="997" t="s">
        <v>248</v>
      </c>
      <c r="B7" s="998">
        <f>SOLO!I30</f>
        <v>0</v>
      </c>
      <c r="C7" s="999">
        <f>SOLO!K32</f>
        <v>0</v>
      </c>
      <c r="D7" s="995" t="s">
        <v>492</v>
      </c>
      <c r="E7" s="22"/>
      <c r="F7" s="22"/>
      <c r="G7" s="22"/>
      <c r="H7" s="22"/>
      <c r="I7" s="863" t="s">
        <v>102</v>
      </c>
      <c r="J7" s="22"/>
    </row>
    <row r="8" spans="1:10" ht="13.5" thickBot="1" x14ac:dyDescent="0.25">
      <c r="A8" s="232" t="s">
        <v>61</v>
      </c>
      <c r="B8" s="233">
        <f>SUM(B4:B7)</f>
        <v>0</v>
      </c>
      <c r="C8" s="234">
        <f>SUM(C4:C7)</f>
        <v>0</v>
      </c>
      <c r="D8" s="994">
        <f>(B8+C8)/2</f>
        <v>0</v>
      </c>
      <c r="E8" s="22"/>
      <c r="F8" s="22"/>
      <c r="G8" s="22"/>
      <c r="H8" s="22"/>
      <c r="I8" s="863" t="s">
        <v>102</v>
      </c>
      <c r="J8" s="22"/>
    </row>
    <row r="9" spans="1:10" x14ac:dyDescent="0.2">
      <c r="A9" s="22"/>
      <c r="B9" s="22"/>
      <c r="C9" s="22"/>
      <c r="D9" s="22"/>
      <c r="E9" s="22"/>
      <c r="F9" s="22"/>
      <c r="G9" s="22"/>
      <c r="H9" s="22"/>
      <c r="I9" s="863" t="s">
        <v>102</v>
      </c>
      <c r="J9" s="22"/>
    </row>
    <row r="10" spans="1:10" ht="13.5" thickBot="1" x14ac:dyDescent="0.25">
      <c r="A10" s="22"/>
      <c r="B10" s="22"/>
      <c r="C10" s="22"/>
      <c r="D10" s="22"/>
      <c r="E10" s="22"/>
      <c r="F10" s="22"/>
      <c r="G10" s="22"/>
      <c r="H10" s="22"/>
      <c r="I10" s="863" t="s">
        <v>102</v>
      </c>
      <c r="J10" s="22"/>
    </row>
    <row r="11" spans="1:10" ht="15.75" x14ac:dyDescent="0.25">
      <c r="A11" s="3173" t="s">
        <v>249</v>
      </c>
      <c r="B11" s="3174"/>
      <c r="C11" s="3175"/>
      <c r="D11" s="22"/>
      <c r="E11" s="22"/>
      <c r="F11" s="22"/>
      <c r="G11" s="22"/>
      <c r="H11" s="22"/>
      <c r="I11" s="863" t="s">
        <v>102</v>
      </c>
      <c r="J11" s="22"/>
    </row>
    <row r="12" spans="1:10" x14ac:dyDescent="0.2">
      <c r="A12" s="105"/>
      <c r="B12" s="965" t="s">
        <v>24</v>
      </c>
      <c r="C12" s="940" t="s">
        <v>25</v>
      </c>
      <c r="D12" s="22"/>
      <c r="E12" s="22"/>
      <c r="F12" s="22"/>
      <c r="G12" s="22"/>
      <c r="H12" s="22"/>
      <c r="I12" s="863" t="s">
        <v>102</v>
      </c>
      <c r="J12" s="22"/>
    </row>
    <row r="13" spans="1:10" ht="13.5" thickBot="1" x14ac:dyDescent="0.25">
      <c r="A13" s="231"/>
      <c r="B13" s="233" t="e">
        <f>REBANHO!F25/('B. resultados tecnicos leite'!B6+'B. resultados tecnicos leite'!B5)</f>
        <v>#DIV/0!</v>
      </c>
      <c r="C13" s="234" t="e">
        <f>REBANHO!F25/('B. resultados tecnicos leite'!C5+'B. resultados tecnicos leite'!C6)</f>
        <v>#DIV/0!</v>
      </c>
      <c r="D13" s="22"/>
      <c r="E13" s="22"/>
      <c r="F13" s="22"/>
      <c r="G13" s="22"/>
      <c r="H13" s="22"/>
      <c r="I13" s="863" t="s">
        <v>102</v>
      </c>
      <c r="J13" s="22"/>
    </row>
    <row r="14" spans="1:10" ht="13.5" thickBot="1" x14ac:dyDescent="0.25">
      <c r="A14" s="30"/>
      <c r="B14" s="235"/>
      <c r="C14" s="235"/>
      <c r="D14" s="22"/>
      <c r="E14" s="22"/>
      <c r="F14" s="22"/>
      <c r="G14" s="22"/>
      <c r="H14" s="22"/>
      <c r="I14" s="863" t="s">
        <v>102</v>
      </c>
      <c r="J14" s="22"/>
    </row>
    <row r="15" spans="1:10" ht="15.75" x14ac:dyDescent="0.25">
      <c r="A15" s="3173" t="s">
        <v>580</v>
      </c>
      <c r="B15" s="3174"/>
      <c r="C15" s="3174"/>
      <c r="D15" s="3175"/>
      <c r="E15" s="22"/>
      <c r="F15" s="22"/>
      <c r="G15" s="22"/>
      <c r="H15" s="22"/>
      <c r="I15" s="863" t="s">
        <v>102</v>
      </c>
      <c r="J15" s="22"/>
    </row>
    <row r="16" spans="1:10" x14ac:dyDescent="0.2">
      <c r="A16" s="997"/>
      <c r="B16" s="964"/>
      <c r="C16" s="964" t="s">
        <v>253</v>
      </c>
      <c r="D16" s="1001" t="s">
        <v>254</v>
      </c>
      <c r="E16" s="22"/>
      <c r="F16" s="22"/>
      <c r="G16" s="22"/>
      <c r="H16" s="22"/>
      <c r="I16" s="863" t="s">
        <v>102</v>
      </c>
      <c r="J16" s="22"/>
    </row>
    <row r="17" spans="1:10" x14ac:dyDescent="0.2">
      <c r="A17" s="997" t="s">
        <v>489</v>
      </c>
      <c r="B17" s="964"/>
      <c r="C17" s="1002">
        <f>PRODUÇÃO!C37+PRODUÇÃO!C38+PRODUÇÃO!C27+PRODUÇÃO!C28+PRODUÇÃO!C29+PRODUÇÃO!C30+(PRODUÇÃO!C40/2)+(PRODUÇÃO!C41/2)+(PRODUÇÃO!C42/2)</f>
        <v>0</v>
      </c>
      <c r="D17" s="1003" t="s">
        <v>491</v>
      </c>
      <c r="E17" s="22"/>
      <c r="F17" s="22"/>
      <c r="G17" s="22"/>
      <c r="H17" s="22"/>
      <c r="I17" s="863" t="s">
        <v>102</v>
      </c>
      <c r="J17" s="22"/>
    </row>
    <row r="18" spans="1:10" x14ac:dyDescent="0.2">
      <c r="A18" s="997" t="s">
        <v>490</v>
      </c>
      <c r="B18" s="964"/>
      <c r="C18" s="1002">
        <f>PRODUÇÃO!C31+PRODUÇÃO!C32+PRODUÇÃO!C33+PRODUÇÃO!C34+PRODUÇÃO!C35+PRODUÇÃO!C36+((PRODUÇÃO!C40+PRODUÇÃO!C41+PRODUÇÃO!C42)/2)</f>
        <v>0</v>
      </c>
      <c r="D18" s="1003" t="s">
        <v>491</v>
      </c>
      <c r="E18" s="22"/>
      <c r="F18" s="22"/>
      <c r="G18" s="22"/>
      <c r="H18" s="22"/>
      <c r="I18" s="863" t="s">
        <v>102</v>
      </c>
      <c r="J18" s="22"/>
    </row>
    <row r="19" spans="1:10" x14ac:dyDescent="0.2">
      <c r="A19" s="997" t="s">
        <v>255</v>
      </c>
      <c r="B19" s="964"/>
      <c r="C19" s="1002" t="s">
        <v>257</v>
      </c>
      <c r="D19" s="1003" t="e">
        <f>C17/B8</f>
        <v>#DIV/0!</v>
      </c>
      <c r="E19" s="22"/>
      <c r="F19" s="22"/>
      <c r="G19" s="22"/>
      <c r="H19" s="22"/>
      <c r="I19" s="863" t="s">
        <v>102</v>
      </c>
      <c r="J19" s="22"/>
    </row>
    <row r="20" spans="1:10" x14ac:dyDescent="0.2">
      <c r="A20" s="997" t="s">
        <v>256</v>
      </c>
      <c r="B20" s="964"/>
      <c r="C20" s="1002" t="s">
        <v>257</v>
      </c>
      <c r="D20" s="1003" t="e">
        <f>C18/C8</f>
        <v>#DIV/0!</v>
      </c>
      <c r="E20" s="22"/>
      <c r="F20" s="22"/>
      <c r="G20" s="22"/>
      <c r="H20" s="22"/>
      <c r="I20" s="863" t="s">
        <v>102</v>
      </c>
      <c r="J20" s="22"/>
    </row>
    <row r="21" spans="1:10" ht="13.5" thickBot="1" x14ac:dyDescent="0.25">
      <c r="A21" s="3176" t="s">
        <v>262</v>
      </c>
      <c r="B21" s="3177"/>
      <c r="C21" s="1004">
        <f>C17+C18</f>
        <v>0</v>
      </c>
      <c r="D21" s="1005"/>
      <c r="E21" s="22"/>
      <c r="F21" s="22"/>
      <c r="G21" s="22"/>
      <c r="H21" s="22"/>
      <c r="I21" s="863" t="s">
        <v>102</v>
      </c>
      <c r="J21" s="22"/>
    </row>
    <row r="22" spans="1:10" x14ac:dyDescent="0.2">
      <c r="A22" s="22"/>
      <c r="B22" s="22"/>
      <c r="C22" s="22"/>
      <c r="D22" s="22"/>
      <c r="E22" s="22"/>
      <c r="F22" s="22"/>
      <c r="G22" s="22"/>
      <c r="H22" s="22"/>
      <c r="I22" s="863" t="s">
        <v>102</v>
      </c>
      <c r="J22" s="22"/>
    </row>
    <row r="23" spans="1:10" ht="13.5" thickBot="1" x14ac:dyDescent="0.25">
      <c r="A23" s="22"/>
      <c r="B23" s="934" t="str">
        <f>CADASTRO!C4</f>
        <v>Digitar o nome</v>
      </c>
      <c r="C23" s="934">
        <f>CADASTRO!C12</f>
        <v>44013</v>
      </c>
      <c r="D23" s="22"/>
      <c r="E23" s="22"/>
      <c r="F23" s="22"/>
      <c r="G23" s="22"/>
      <c r="H23" s="22"/>
      <c r="I23" s="863"/>
      <c r="J23" s="22"/>
    </row>
    <row r="24" spans="1:10" ht="15.75" x14ac:dyDescent="0.25">
      <c r="A24" s="107"/>
      <c r="B24" s="3179" t="s">
        <v>259</v>
      </c>
      <c r="C24" s="3180"/>
      <c r="D24" s="22"/>
      <c r="E24" s="22"/>
      <c r="F24" s="22"/>
      <c r="G24" s="22"/>
      <c r="H24" s="22"/>
      <c r="I24" s="863" t="s">
        <v>102</v>
      </c>
      <c r="J24" s="22"/>
    </row>
    <row r="25" spans="1:10" ht="15" x14ac:dyDescent="0.2">
      <c r="A25" s="691"/>
      <c r="B25" s="1082" t="s">
        <v>372</v>
      </c>
      <c r="C25" s="1103">
        <f>REBANHO!C8+REBANHO!C9</f>
        <v>0</v>
      </c>
      <c r="D25" s="22"/>
      <c r="E25" s="22"/>
      <c r="F25" s="22"/>
      <c r="G25" s="22"/>
      <c r="H25" s="22"/>
      <c r="I25" s="863" t="s">
        <v>102</v>
      </c>
      <c r="J25" s="22"/>
    </row>
    <row r="26" spans="1:10" ht="15" x14ac:dyDescent="0.2">
      <c r="A26" s="691"/>
      <c r="B26" s="1082" t="s">
        <v>356</v>
      </c>
      <c r="C26" s="1083">
        <f>REBANHO!C8</f>
        <v>0</v>
      </c>
      <c r="D26" s="22"/>
      <c r="E26" s="22"/>
      <c r="F26" s="22"/>
      <c r="G26" s="22"/>
      <c r="H26" s="22"/>
      <c r="I26" s="863" t="s">
        <v>102</v>
      </c>
      <c r="J26" s="22"/>
    </row>
    <row r="27" spans="1:10" ht="15" x14ac:dyDescent="0.2">
      <c r="A27" s="691"/>
      <c r="B27" s="1082" t="s">
        <v>610</v>
      </c>
      <c r="C27" s="1103" t="e">
        <f>' RESULT. DETALHE CUSTO LEITE'!F9/C25</f>
        <v>#DIV/0!</v>
      </c>
      <c r="D27" s="22"/>
      <c r="E27" s="22"/>
      <c r="F27" s="22"/>
      <c r="G27" s="22"/>
      <c r="H27" s="22"/>
      <c r="I27" s="863"/>
      <c r="J27" s="22"/>
    </row>
    <row r="28" spans="1:10" ht="15" x14ac:dyDescent="0.2">
      <c r="A28" s="692"/>
      <c r="B28" s="1084" t="s">
        <v>374</v>
      </c>
      <c r="C28" s="1085" t="e">
        <f>C21/C25/365</f>
        <v>#DIV/0!</v>
      </c>
      <c r="D28" s="22"/>
      <c r="E28" s="22"/>
      <c r="F28" s="22"/>
      <c r="G28" s="22"/>
      <c r="H28" s="22"/>
      <c r="I28" s="863" t="s">
        <v>102</v>
      </c>
      <c r="J28" s="22"/>
    </row>
    <row r="29" spans="1:10" ht="15.75" thickBot="1" x14ac:dyDescent="0.25">
      <c r="A29" s="692"/>
      <c r="B29" s="1086" t="s">
        <v>373</v>
      </c>
      <c r="C29" s="1087" t="e">
        <f>C21/C26/365</f>
        <v>#DIV/0!</v>
      </c>
      <c r="D29" s="22"/>
      <c r="E29" s="22"/>
      <c r="F29" s="22"/>
      <c r="G29" s="22"/>
      <c r="H29" s="22"/>
      <c r="I29" s="863" t="s">
        <v>102</v>
      </c>
      <c r="J29" s="22"/>
    </row>
    <row r="30" spans="1:10" ht="15.75" thickBot="1" x14ac:dyDescent="0.25">
      <c r="A30" s="30"/>
      <c r="B30" s="1088"/>
      <c r="C30" s="1089"/>
      <c r="D30" s="22"/>
      <c r="E30" s="22"/>
      <c r="F30" s="22"/>
      <c r="G30" s="22"/>
      <c r="H30" s="22"/>
      <c r="I30" s="863" t="s">
        <v>102</v>
      </c>
      <c r="J30" s="22"/>
    </row>
    <row r="31" spans="1:10" ht="15.75" x14ac:dyDescent="0.25">
      <c r="A31" s="693"/>
      <c r="B31" s="3181" t="s">
        <v>258</v>
      </c>
      <c r="C31" s="3182"/>
      <c r="D31" s="22"/>
      <c r="E31" s="22"/>
      <c r="F31" s="22"/>
      <c r="G31" s="22"/>
      <c r="H31" s="22"/>
      <c r="I31" s="863" t="s">
        <v>102</v>
      </c>
      <c r="J31" s="22"/>
    </row>
    <row r="32" spans="1:10" ht="15.75" x14ac:dyDescent="0.25">
      <c r="A32" s="691"/>
      <c r="B32" s="1090" t="s">
        <v>375</v>
      </c>
      <c r="C32" s="1091">
        <f>'DESPESAS (Gado)'!E12+'DESPESAS (Gado)'!E20</f>
        <v>0</v>
      </c>
      <c r="D32" s="22"/>
      <c r="E32" s="22"/>
      <c r="F32" s="22"/>
      <c r="G32" s="22"/>
      <c r="H32" s="22"/>
      <c r="I32" s="863" t="s">
        <v>102</v>
      </c>
      <c r="J32" s="22"/>
    </row>
    <row r="33" spans="1:10" ht="15" x14ac:dyDescent="0.2">
      <c r="A33" s="30"/>
      <c r="B33" s="1092" t="s">
        <v>376</v>
      </c>
      <c r="C33" s="1093" t="e">
        <f>C32/C25/365</f>
        <v>#DIV/0!</v>
      </c>
      <c r="D33" s="22"/>
      <c r="E33" s="22"/>
      <c r="F33" s="22"/>
      <c r="G33" s="22"/>
      <c r="H33" s="22"/>
      <c r="I33" s="863" t="s">
        <v>102</v>
      </c>
      <c r="J33" s="22"/>
    </row>
    <row r="34" spans="1:10" ht="15.75" x14ac:dyDescent="0.25">
      <c r="A34" s="30"/>
      <c r="B34" s="1092" t="s">
        <v>7</v>
      </c>
      <c r="C34" s="1093" t="e">
        <f>C32/C26/365</f>
        <v>#DIV/0!</v>
      </c>
      <c r="D34" s="22"/>
      <c r="E34" s="22"/>
      <c r="F34" s="22"/>
      <c r="G34" s="22"/>
      <c r="H34" s="22"/>
      <c r="I34" s="863" t="s">
        <v>102</v>
      </c>
      <c r="J34" s="22"/>
    </row>
    <row r="35" spans="1:10" ht="15" x14ac:dyDescent="0.2">
      <c r="A35" s="30"/>
      <c r="B35" s="1092" t="s">
        <v>261</v>
      </c>
      <c r="C35" s="1093" t="e">
        <f>C32/C21</f>
        <v>#DIV/0!</v>
      </c>
      <c r="D35" s="22"/>
      <c r="E35" s="22"/>
      <c r="F35" s="22"/>
      <c r="G35" s="22"/>
      <c r="H35" s="22"/>
      <c r="I35" s="863" t="s">
        <v>102</v>
      </c>
      <c r="J35" s="22"/>
    </row>
    <row r="36" spans="1:10" ht="15" x14ac:dyDescent="0.2">
      <c r="A36" s="30"/>
      <c r="B36" s="1092" t="s">
        <v>260</v>
      </c>
      <c r="C36" s="1093" t="e">
        <f>C21/C32</f>
        <v>#DIV/0!</v>
      </c>
      <c r="D36" s="22"/>
      <c r="E36" s="22"/>
      <c r="F36" s="22"/>
      <c r="G36" s="22"/>
      <c r="H36" s="22"/>
      <c r="I36" s="863" t="s">
        <v>102</v>
      </c>
      <c r="J36" s="22"/>
    </row>
    <row r="37" spans="1:10" ht="30" x14ac:dyDescent="0.2">
      <c r="A37" s="30"/>
      <c r="B37" s="1094" t="s">
        <v>606</v>
      </c>
      <c r="C37" s="1095" t="e">
        <f>(C29-10)/C34</f>
        <v>#DIV/0!</v>
      </c>
      <c r="D37" s="22"/>
      <c r="E37" s="22"/>
      <c r="F37" s="22"/>
      <c r="G37" s="22"/>
      <c r="H37" s="22"/>
      <c r="I37" s="863" t="s">
        <v>102</v>
      </c>
      <c r="J37" s="22"/>
    </row>
    <row r="38" spans="1:10" ht="15" x14ac:dyDescent="0.2">
      <c r="A38" s="22"/>
      <c r="B38" s="1092"/>
      <c r="C38" s="1096"/>
      <c r="D38" s="22"/>
      <c r="E38" s="22"/>
      <c r="F38" s="237"/>
      <c r="G38" s="22"/>
      <c r="H38" s="22"/>
      <c r="I38" s="863" t="s">
        <v>102</v>
      </c>
      <c r="J38" s="22"/>
    </row>
    <row r="39" spans="1:10" ht="15" x14ac:dyDescent="0.2">
      <c r="A39" s="22"/>
      <c r="B39" s="1097" t="s">
        <v>726</v>
      </c>
      <c r="C39" s="1098"/>
      <c r="D39" s="22"/>
      <c r="E39" s="22"/>
      <c r="F39" s="22"/>
      <c r="G39" s="22"/>
      <c r="H39" s="22"/>
      <c r="I39" s="863" t="s">
        <v>102</v>
      </c>
      <c r="J39" s="22"/>
    </row>
    <row r="40" spans="1:10" ht="15" x14ac:dyDescent="0.2">
      <c r="A40" s="22"/>
      <c r="B40" s="1092" t="s">
        <v>377</v>
      </c>
      <c r="C40" s="1099" t="e">
        <f>((PRODUÇÃO!F19+PRODUÇÃO!F20)/C26)/365</f>
        <v>#DIV/0!</v>
      </c>
      <c r="D40" s="22"/>
      <c r="E40" s="22"/>
      <c r="F40" s="22"/>
      <c r="G40" s="22"/>
      <c r="H40" s="22"/>
      <c r="I40" s="863" t="s">
        <v>102</v>
      </c>
      <c r="J40" s="22"/>
    </row>
    <row r="41" spans="1:10" ht="15" x14ac:dyDescent="0.2">
      <c r="A41" s="22"/>
      <c r="B41" s="1092" t="s">
        <v>607</v>
      </c>
      <c r="C41" s="1099" t="e">
        <f>(PRODUÇÃO!I19+PRODUÇÃO!I20)/(REBANHO!C11+REBANHO!C10+REBANHO!C12)/365</f>
        <v>#DIV/0!</v>
      </c>
      <c r="D41" s="22"/>
      <c r="E41" s="22"/>
      <c r="F41" s="22"/>
      <c r="G41" s="22"/>
      <c r="H41" s="22"/>
      <c r="I41" s="863" t="s">
        <v>102</v>
      </c>
      <c r="J41" s="22"/>
    </row>
    <row r="42" spans="1:10" ht="15" x14ac:dyDescent="0.2">
      <c r="A42" s="22"/>
      <c r="B42" s="1088"/>
      <c r="C42" s="1100"/>
      <c r="D42" s="22"/>
      <c r="E42" s="22"/>
      <c r="F42" s="22"/>
      <c r="G42" s="22"/>
      <c r="H42" s="22"/>
      <c r="I42" s="863" t="s">
        <v>102</v>
      </c>
      <c r="J42" s="22"/>
    </row>
    <row r="43" spans="1:10" ht="15.75" thickBot="1" x14ac:dyDescent="0.25">
      <c r="A43" s="22"/>
      <c r="B43" s="1101" t="s">
        <v>403</v>
      </c>
      <c r="C43" s="1102" t="e">
        <f>'DESPESAS (Gado)'!G25/'B. resultados tecnicos leite'!C25</f>
        <v>#DIV/0!</v>
      </c>
      <c r="D43" s="22"/>
      <c r="E43" s="22"/>
      <c r="F43" s="22"/>
      <c r="G43" s="22"/>
      <c r="H43" s="22"/>
      <c r="I43" s="863" t="s">
        <v>102</v>
      </c>
      <c r="J43" s="22"/>
    </row>
    <row r="44" spans="1:10" ht="39.6" customHeight="1" x14ac:dyDescent="0.2">
      <c r="A44" s="22"/>
      <c r="B44" s="3178" t="s">
        <v>518</v>
      </c>
      <c r="C44" s="3178"/>
      <c r="D44" s="3178"/>
      <c r="E44" s="22"/>
      <c r="F44" s="22"/>
      <c r="G44" s="22"/>
      <c r="H44" s="22"/>
      <c r="I44" s="863" t="s">
        <v>102</v>
      </c>
      <c r="J44" s="22"/>
    </row>
    <row r="45" spans="1:10" ht="13.5" thickBot="1" x14ac:dyDescent="0.25">
      <c r="A45" s="22"/>
      <c r="B45" s="22"/>
      <c r="C45" s="22"/>
      <c r="D45" s="22"/>
      <c r="E45" s="22"/>
      <c r="F45" s="22"/>
      <c r="G45" s="22"/>
      <c r="H45" s="22"/>
      <c r="I45" s="863" t="s">
        <v>102</v>
      </c>
      <c r="J45" s="22"/>
    </row>
    <row r="46" spans="1:10" ht="18" x14ac:dyDescent="0.25">
      <c r="A46" s="22"/>
      <c r="B46" s="3164" t="s">
        <v>557</v>
      </c>
      <c r="C46" s="3165"/>
      <c r="D46" s="3166"/>
      <c r="E46" s="962"/>
      <c r="F46" s="962"/>
      <c r="G46" s="962"/>
      <c r="H46" s="30"/>
      <c r="I46" s="863" t="s">
        <v>102</v>
      </c>
      <c r="J46" s="22"/>
    </row>
    <row r="47" spans="1:10" ht="18" x14ac:dyDescent="0.25">
      <c r="A47" s="22"/>
      <c r="B47" s="1006"/>
      <c r="C47" s="963"/>
      <c r="D47" s="1007"/>
      <c r="E47" s="962"/>
      <c r="F47" s="962"/>
      <c r="G47" s="962"/>
      <c r="H47" s="30"/>
      <c r="I47" s="863"/>
      <c r="J47" s="22"/>
    </row>
    <row r="48" spans="1:10" ht="18" x14ac:dyDescent="0.25">
      <c r="A48" s="22"/>
      <c r="B48" s="3167" t="s">
        <v>556</v>
      </c>
      <c r="C48" s="3168"/>
      <c r="D48" s="3169"/>
      <c r="E48" s="962"/>
      <c r="F48" s="962"/>
      <c r="G48" s="962"/>
      <c r="H48" s="30"/>
      <c r="I48" s="863"/>
      <c r="J48" s="22"/>
    </row>
    <row r="49" spans="1:10" x14ac:dyDescent="0.2">
      <c r="A49" s="22"/>
      <c r="B49" s="997"/>
      <c r="C49" s="3162" t="s">
        <v>517</v>
      </c>
      <c r="D49" s="3163"/>
      <c r="E49" s="3158"/>
      <c r="F49" s="3158"/>
      <c r="G49" s="3158"/>
      <c r="H49" s="1219"/>
      <c r="I49" s="863" t="s">
        <v>102</v>
      </c>
      <c r="J49" s="22"/>
    </row>
    <row r="50" spans="1:10" x14ac:dyDescent="0.2">
      <c r="A50" s="22"/>
      <c r="B50" s="105"/>
      <c r="C50" s="965" t="s">
        <v>516</v>
      </c>
      <c r="D50" s="940" t="s">
        <v>515</v>
      </c>
      <c r="E50" s="30"/>
      <c r="F50" s="30"/>
      <c r="G50" s="30"/>
      <c r="H50" s="30"/>
      <c r="I50" s="863" t="s">
        <v>102</v>
      </c>
      <c r="J50" s="22"/>
    </row>
    <row r="51" spans="1:10" x14ac:dyDescent="0.2">
      <c r="A51" s="22"/>
      <c r="B51" s="1010" t="s">
        <v>513</v>
      </c>
      <c r="C51" s="108">
        <f>REBANHO!F8*0.03</f>
        <v>0</v>
      </c>
      <c r="D51" s="690">
        <f>C51*365</f>
        <v>0</v>
      </c>
      <c r="E51" s="30"/>
      <c r="F51" s="30"/>
      <c r="G51" s="30"/>
      <c r="H51" s="30"/>
      <c r="I51" s="863" t="s">
        <v>102</v>
      </c>
      <c r="J51" s="22"/>
    </row>
    <row r="52" spans="1:10" x14ac:dyDescent="0.2">
      <c r="A52" s="22"/>
      <c r="B52" s="1010" t="s">
        <v>514</v>
      </c>
      <c r="C52" s="108">
        <f>REBANHO!F9*0.02</f>
        <v>0</v>
      </c>
      <c r="D52" s="690">
        <f>C52*365</f>
        <v>0</v>
      </c>
      <c r="E52" s="30"/>
      <c r="F52" s="30"/>
      <c r="G52" s="30"/>
      <c r="H52" s="30"/>
      <c r="I52" s="863" t="s">
        <v>102</v>
      </c>
      <c r="J52" s="22"/>
    </row>
    <row r="53" spans="1:10" x14ac:dyDescent="0.2">
      <c r="A53" s="22"/>
      <c r="B53" s="1010" t="s">
        <v>608</v>
      </c>
      <c r="C53" s="108">
        <f>(REBANHO!F11+REBANHO!F10+REBANHO!F12+REBANHO!F13+REBANHO!F14+REBANHO!F15+REBANHO!F16+REBANHO!F20+REBANHO!F21+REBANHO!F22)*0.02</f>
        <v>0</v>
      </c>
      <c r="D53" s="690">
        <f>C53*365</f>
        <v>0</v>
      </c>
      <c r="E53" s="30"/>
      <c r="F53" s="30"/>
      <c r="G53" s="30"/>
      <c r="H53" s="30"/>
      <c r="I53" s="863" t="s">
        <v>102</v>
      </c>
      <c r="J53" s="22"/>
    </row>
    <row r="54" spans="1:10" ht="15.75" x14ac:dyDescent="0.25">
      <c r="A54" s="22"/>
      <c r="B54" s="1008" t="s">
        <v>519</v>
      </c>
      <c r="C54" s="966">
        <f>SUM(C51:C53)</f>
        <v>0</v>
      </c>
      <c r="D54" s="1009">
        <f>SUM(D51:D53)</f>
        <v>0</v>
      </c>
      <c r="E54" s="959"/>
      <c r="F54" s="960"/>
      <c r="G54" s="961"/>
      <c r="H54" s="932"/>
      <c r="I54" s="863" t="s">
        <v>102</v>
      </c>
      <c r="J54" s="22"/>
    </row>
    <row r="55" spans="1:10" x14ac:dyDescent="0.2">
      <c r="A55" s="30"/>
      <c r="B55" s="105"/>
      <c r="C55" s="106"/>
      <c r="D55" s="689"/>
      <c r="E55" s="30"/>
      <c r="F55" s="30"/>
      <c r="G55" s="30"/>
      <c r="H55" s="30"/>
      <c r="I55" s="863" t="s">
        <v>102</v>
      </c>
      <c r="J55" s="22"/>
    </row>
    <row r="56" spans="1:10" ht="18" x14ac:dyDescent="0.25">
      <c r="A56" s="30"/>
      <c r="B56" s="3159" t="s">
        <v>582</v>
      </c>
      <c r="C56" s="3160"/>
      <c r="D56" s="3161"/>
      <c r="E56" s="30"/>
      <c r="F56" s="30"/>
      <c r="G56" s="30"/>
      <c r="H56" s="30"/>
      <c r="I56" s="863"/>
      <c r="J56" s="22"/>
    </row>
    <row r="57" spans="1:10" ht="23.45" customHeight="1" x14ac:dyDescent="0.2">
      <c r="A57" s="22"/>
      <c r="B57" s="997" t="s">
        <v>642</v>
      </c>
      <c r="C57" s="3152">
        <f>'DESPESAS (Gado)'!E20*0.9</f>
        <v>0</v>
      </c>
      <c r="D57" s="3153"/>
      <c r="E57" s="693"/>
      <c r="F57" s="693"/>
      <c r="G57" s="693"/>
      <c r="H57" s="933"/>
      <c r="I57" s="863" t="s">
        <v>102</v>
      </c>
      <c r="J57" s="22"/>
    </row>
    <row r="58" spans="1:10" ht="21" customHeight="1" thickBot="1" x14ac:dyDescent="0.25">
      <c r="A58" s="22"/>
      <c r="B58" s="1220" t="s">
        <v>643</v>
      </c>
      <c r="C58" s="3154">
        <f>(PRODUÇÃO!D19+PRODUÇÃO!D20)*0.33</f>
        <v>0</v>
      </c>
      <c r="D58" s="3155"/>
      <c r="E58" s="30"/>
      <c r="F58" s="30"/>
      <c r="G58" s="30"/>
      <c r="H58" s="30"/>
      <c r="I58" s="863" t="s">
        <v>102</v>
      </c>
      <c r="J58" s="22"/>
    </row>
    <row r="59" spans="1:10" ht="26.45" customHeight="1" thickBot="1" x14ac:dyDescent="0.3">
      <c r="A59" s="22"/>
      <c r="B59" s="1221" t="s">
        <v>644</v>
      </c>
      <c r="C59" s="3156">
        <f>SUM(C57:C58)</f>
        <v>0</v>
      </c>
      <c r="D59" s="3157"/>
      <c r="E59" s="30"/>
      <c r="F59" s="30"/>
      <c r="G59" s="30"/>
      <c r="H59" s="30"/>
      <c r="I59" s="863" t="s">
        <v>102</v>
      </c>
      <c r="J59" s="22"/>
    </row>
    <row r="60" spans="1:10" x14ac:dyDescent="0.2">
      <c r="B60" s="950"/>
      <c r="C60" s="950"/>
      <c r="D60" s="950"/>
      <c r="G60" s="30"/>
      <c r="H60" s="30"/>
      <c r="I60" s="863" t="s">
        <v>102</v>
      </c>
    </row>
    <row r="61" spans="1:10" ht="15.75" x14ac:dyDescent="0.25">
      <c r="A61" s="22"/>
      <c r="B61" s="1222" t="s">
        <v>646</v>
      </c>
      <c r="C61" s="1223" t="e">
        <f>C57/D54</f>
        <v>#DIV/0!</v>
      </c>
      <c r="D61" s="30"/>
      <c r="E61" s="22"/>
      <c r="F61" s="22"/>
      <c r="G61" s="22"/>
      <c r="H61" s="22"/>
      <c r="I61" s="863"/>
    </row>
    <row r="62" spans="1:10" ht="15.75" x14ac:dyDescent="0.25">
      <c r="A62" s="22"/>
      <c r="B62" s="1222" t="s">
        <v>647</v>
      </c>
      <c r="C62" s="1223" t="e">
        <f>C58/D54</f>
        <v>#DIV/0!</v>
      </c>
      <c r="D62" s="22"/>
      <c r="E62" s="22"/>
      <c r="F62" s="22"/>
      <c r="G62" s="22"/>
      <c r="H62" s="22"/>
      <c r="I62" s="863"/>
    </row>
    <row r="63" spans="1:10" ht="15" x14ac:dyDescent="0.2">
      <c r="A63" s="22"/>
      <c r="B63" s="1222" t="s">
        <v>645</v>
      </c>
      <c r="C63" s="1223" t="e">
        <f>C59/D54</f>
        <v>#DIV/0!</v>
      </c>
      <c r="D63" s="22"/>
      <c r="E63" s="22"/>
      <c r="F63" s="22"/>
      <c r="G63" s="22"/>
      <c r="H63" s="22"/>
      <c r="I63" s="863"/>
    </row>
    <row r="64" spans="1:10" x14ac:dyDescent="0.2">
      <c r="A64" s="22"/>
      <c r="B64" s="22"/>
      <c r="C64" s="22"/>
      <c r="D64" s="22"/>
      <c r="E64" s="22"/>
      <c r="F64" s="22"/>
      <c r="G64" s="22"/>
      <c r="H64" s="22"/>
      <c r="I64" s="863"/>
    </row>
    <row r="65" spans="1:9" x14ac:dyDescent="0.2">
      <c r="A65" s="22"/>
      <c r="B65" s="22"/>
      <c r="C65" s="22"/>
      <c r="D65" s="22"/>
      <c r="E65" s="22"/>
      <c r="F65" s="22"/>
      <c r="G65" s="22"/>
      <c r="H65" s="22"/>
      <c r="I65" s="863"/>
    </row>
    <row r="66" spans="1:9" x14ac:dyDescent="0.2">
      <c r="A66" s="863" t="s">
        <v>102</v>
      </c>
      <c r="B66" s="863" t="s">
        <v>102</v>
      </c>
      <c r="C66" s="863" t="s">
        <v>102</v>
      </c>
      <c r="D66" s="863" t="s">
        <v>102</v>
      </c>
      <c r="E66" s="863" t="s">
        <v>102</v>
      </c>
      <c r="F66" s="863" t="s">
        <v>102</v>
      </c>
      <c r="G66" s="863" t="s">
        <v>102</v>
      </c>
      <c r="H66" s="863" t="s">
        <v>102</v>
      </c>
      <c r="I66" s="863" t="s">
        <v>102</v>
      </c>
    </row>
    <row r="67" spans="1:9" x14ac:dyDescent="0.2">
      <c r="A67" s="863" t="s">
        <v>102</v>
      </c>
      <c r="B67" s="863" t="s">
        <v>102</v>
      </c>
      <c r="C67" s="863" t="s">
        <v>102</v>
      </c>
      <c r="D67" s="863" t="s">
        <v>102</v>
      </c>
      <c r="E67" s="863" t="s">
        <v>102</v>
      </c>
      <c r="F67" s="863" t="s">
        <v>102</v>
      </c>
      <c r="G67" s="863" t="s">
        <v>102</v>
      </c>
      <c r="H67" s="863" t="s">
        <v>102</v>
      </c>
      <c r="I67" s="863" t="s">
        <v>102</v>
      </c>
    </row>
    <row r="68" spans="1:9" x14ac:dyDescent="0.2">
      <c r="A68" s="22"/>
      <c r="B68" s="22"/>
      <c r="C68" s="22"/>
      <c r="D68" s="22"/>
      <c r="E68" s="22"/>
      <c r="F68" s="22"/>
      <c r="G68" s="22"/>
      <c r="H68" s="22"/>
      <c r="I68" s="863"/>
    </row>
  </sheetData>
  <mergeCells count="15">
    <mergeCell ref="B46:D46"/>
    <mergeCell ref="B48:D48"/>
    <mergeCell ref="A2:C2"/>
    <mergeCell ref="A11:C11"/>
    <mergeCell ref="A21:B21"/>
    <mergeCell ref="A15:D15"/>
    <mergeCell ref="B44:D44"/>
    <mergeCell ref="B24:C24"/>
    <mergeCell ref="B31:C31"/>
    <mergeCell ref="C57:D57"/>
    <mergeCell ref="C58:D58"/>
    <mergeCell ref="C59:D59"/>
    <mergeCell ref="E49:G49"/>
    <mergeCell ref="B56:D56"/>
    <mergeCell ref="C49:D49"/>
  </mergeCells>
  <phoneticPr fontId="50" type="noConversion"/>
  <pageMargins left="0.78740157480314965" right="0.78740157480314965" top="0.98425196850393704" bottom="0.98425196850393704" header="0.51181102362204722" footer="0.51181102362204722"/>
  <pageSetup paperSize="9" scale="81" fitToHeight="2"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9"/>
  <dimension ref="A1:BA135"/>
  <sheetViews>
    <sheetView zoomScale="75" zoomScaleNormal="80" workbookViewId="0">
      <selection activeCell="C29" sqref="C29"/>
    </sheetView>
  </sheetViews>
  <sheetFormatPr defaultColWidth="11.42578125" defaultRowHeight="12.75" x14ac:dyDescent="0.2"/>
  <cols>
    <col min="1" max="1" width="9.140625" style="23" customWidth="1"/>
    <col min="2" max="2" width="36.5703125" style="24" customWidth="1"/>
    <col min="3" max="3" width="12.140625" style="24" customWidth="1"/>
    <col min="4" max="4" width="16.140625" style="24" customWidth="1"/>
    <col min="5" max="5" width="9.140625" style="24" customWidth="1"/>
    <col min="6" max="6" width="9.42578125" style="24" customWidth="1"/>
    <col min="7" max="7" width="9" style="24" customWidth="1"/>
    <col min="8" max="8" width="15.7109375" style="24" customWidth="1"/>
    <col min="9" max="9" width="12.42578125" style="24" customWidth="1"/>
    <col min="10" max="10" width="17.42578125" style="24" customWidth="1"/>
    <col min="11" max="11" width="13.28515625" style="24" customWidth="1"/>
    <col min="12" max="12" width="16.28515625" style="24" customWidth="1"/>
    <col min="13" max="15" width="17.42578125" style="24" customWidth="1"/>
    <col min="16" max="16" width="12.28515625" style="24" customWidth="1"/>
    <col min="17" max="17" width="18.42578125" style="24" customWidth="1"/>
    <col min="18" max="18" width="13.140625" style="24" customWidth="1"/>
    <col min="19" max="20" width="11.42578125" style="24" customWidth="1"/>
    <col min="21" max="21" width="14.28515625" style="24" customWidth="1"/>
    <col min="22" max="22" width="15.7109375" style="24" customWidth="1"/>
    <col min="23" max="27" width="11.42578125" style="24" customWidth="1"/>
    <col min="28" max="16384" width="11.42578125" style="24"/>
  </cols>
  <sheetData>
    <row r="1" spans="2:22" ht="19.5" customHeight="1" x14ac:dyDescent="0.2">
      <c r="B1" s="23"/>
      <c r="C1" s="23"/>
      <c r="D1" s="23"/>
      <c r="E1" s="23"/>
      <c r="F1" s="23"/>
      <c r="G1" s="23"/>
      <c r="H1" s="23"/>
      <c r="I1" s="25"/>
      <c r="J1" s="25"/>
      <c r="K1" s="25"/>
      <c r="L1" s="25"/>
      <c r="M1" s="25"/>
      <c r="N1" s="25"/>
      <c r="O1" s="25"/>
      <c r="P1" s="25"/>
      <c r="Q1" s="25"/>
      <c r="R1" s="25"/>
      <c r="S1" s="25"/>
      <c r="T1" s="25"/>
      <c r="U1" s="25"/>
      <c r="V1" s="25"/>
    </row>
    <row r="2" spans="2:22" ht="13.5" thickBot="1" x14ac:dyDescent="0.25">
      <c r="B2" s="608" t="str">
        <f>CADASTRO!C4</f>
        <v>Digitar o nome</v>
      </c>
      <c r="C2" s="608">
        <f>CADASTRO!C12</f>
        <v>44013</v>
      </c>
      <c r="D2" s="608"/>
      <c r="E2" s="23"/>
      <c r="F2" s="23"/>
      <c r="G2" s="23"/>
      <c r="H2" s="23"/>
      <c r="I2" s="25"/>
      <c r="J2" s="25"/>
      <c r="K2" s="25"/>
      <c r="L2" s="25"/>
      <c r="M2" s="460" t="s">
        <v>83</v>
      </c>
      <c r="N2" s="460"/>
      <c r="O2" s="25"/>
      <c r="P2" s="25"/>
      <c r="Q2" s="25"/>
      <c r="R2" s="25"/>
      <c r="S2" s="25"/>
      <c r="T2" s="25"/>
      <c r="U2" s="25"/>
      <c r="V2" s="25"/>
    </row>
    <row r="3" spans="2:22" ht="32.25" customHeight="1" thickBot="1" x14ac:dyDescent="0.3">
      <c r="B3" s="2831" t="s">
        <v>287</v>
      </c>
      <c r="C3" s="2832"/>
      <c r="D3" s="2832"/>
      <c r="E3" s="2832"/>
      <c r="F3" s="2832"/>
      <c r="G3" s="2832"/>
      <c r="H3" s="2833"/>
      <c r="I3" s="25"/>
      <c r="J3" s="3183" t="s">
        <v>970</v>
      </c>
      <c r="K3" s="3184"/>
      <c r="L3" s="3185"/>
      <c r="M3" s="460" t="s">
        <v>83</v>
      </c>
      <c r="N3" s="460"/>
      <c r="O3" s="461"/>
      <c r="P3" s="461"/>
      <c r="Q3" s="25"/>
      <c r="R3" s="460"/>
      <c r="S3" s="25"/>
      <c r="T3" s="25"/>
      <c r="U3" s="25"/>
      <c r="V3" s="25"/>
    </row>
    <row r="4" spans="2:22" ht="31.5" customHeight="1" x14ac:dyDescent="0.2">
      <c r="B4" s="462" t="s">
        <v>109</v>
      </c>
      <c r="C4" s="463" t="s">
        <v>110</v>
      </c>
      <c r="D4" s="463" t="s">
        <v>210</v>
      </c>
      <c r="E4" s="3188" t="s">
        <v>111</v>
      </c>
      <c r="F4" s="3189"/>
      <c r="G4" s="464" t="s">
        <v>211</v>
      </c>
      <c r="H4" s="465" t="s">
        <v>112</v>
      </c>
      <c r="I4" s="25"/>
      <c r="J4" s="466" t="s">
        <v>288</v>
      </c>
      <c r="K4" s="467"/>
      <c r="L4" s="468" t="s">
        <v>289</v>
      </c>
      <c r="M4" s="460" t="s">
        <v>83</v>
      </c>
      <c r="N4" s="460"/>
      <c r="O4" s="25"/>
      <c r="P4" s="25"/>
      <c r="Q4" s="25"/>
      <c r="R4" s="460"/>
      <c r="S4" s="25"/>
      <c r="T4" s="25"/>
      <c r="U4" s="25"/>
      <c r="V4" s="25"/>
    </row>
    <row r="5" spans="2:22" ht="15" x14ac:dyDescent="0.2">
      <c r="B5" s="12" t="s">
        <v>789</v>
      </c>
      <c r="C5" s="37">
        <v>1</v>
      </c>
      <c r="D5" s="67">
        <v>80000</v>
      </c>
      <c r="E5" s="3190">
        <f t="shared" ref="E5:E22" si="0">C5*D5</f>
        <v>80000</v>
      </c>
      <c r="F5" s="3191"/>
      <c r="G5" s="27">
        <v>25</v>
      </c>
      <c r="H5" s="626">
        <f>IF(G5=0,0,E5*0.9/G5)</f>
        <v>2880</v>
      </c>
      <c r="I5" s="25"/>
      <c r="J5" s="3186" t="str">
        <f>B5</f>
        <v>Trator</v>
      </c>
      <c r="K5" s="3187"/>
      <c r="L5" s="57">
        <f>'OUTROS CUSTOS'!B11</f>
        <v>0</v>
      </c>
      <c r="M5" s="460" t="s">
        <v>83</v>
      </c>
      <c r="N5" s="460"/>
      <c r="O5" s="25"/>
      <c r="P5" s="25"/>
      <c r="Q5" s="25"/>
      <c r="R5" s="460"/>
      <c r="S5" s="25"/>
      <c r="T5" s="25"/>
      <c r="U5" s="25"/>
      <c r="V5" s="25"/>
    </row>
    <row r="6" spans="2:22" ht="15" x14ac:dyDescent="0.2">
      <c r="B6" s="12"/>
      <c r="C6" s="37"/>
      <c r="D6" s="67"/>
      <c r="E6" s="3190">
        <f t="shared" si="0"/>
        <v>0</v>
      </c>
      <c r="F6" s="3191"/>
      <c r="G6" s="27"/>
      <c r="H6" s="626">
        <f t="shared" ref="H6:H23" si="1">IF(G6=0,0,E6*0.9/G6)</f>
        <v>0</v>
      </c>
      <c r="I6" s="25"/>
      <c r="J6" s="3186">
        <f t="shared" ref="J6:J23" si="2">B6</f>
        <v>0</v>
      </c>
      <c r="K6" s="3187"/>
      <c r="L6" s="57">
        <f>H6*0.3</f>
        <v>0</v>
      </c>
      <c r="M6" s="460" t="s">
        <v>83</v>
      </c>
      <c r="N6" s="460"/>
      <c r="O6" s="25"/>
      <c r="P6" s="25"/>
      <c r="Q6" s="25"/>
      <c r="R6" s="460"/>
      <c r="S6" s="25"/>
      <c r="T6" s="25"/>
      <c r="U6" s="25"/>
      <c r="V6" s="25"/>
    </row>
    <row r="7" spans="2:22" ht="15" x14ac:dyDescent="0.2">
      <c r="B7" s="12"/>
      <c r="C7" s="37"/>
      <c r="D7" s="67"/>
      <c r="E7" s="3190">
        <f t="shared" si="0"/>
        <v>0</v>
      </c>
      <c r="F7" s="3191"/>
      <c r="G7" s="27"/>
      <c r="H7" s="626">
        <f t="shared" si="1"/>
        <v>0</v>
      </c>
      <c r="I7" s="25"/>
      <c r="J7" s="3186">
        <f t="shared" si="2"/>
        <v>0</v>
      </c>
      <c r="K7" s="3187"/>
      <c r="L7" s="57">
        <f>H7*0.3</f>
        <v>0</v>
      </c>
      <c r="M7" s="460" t="s">
        <v>83</v>
      </c>
      <c r="N7" s="460"/>
      <c r="O7" s="25"/>
      <c r="P7" s="25"/>
      <c r="Q7" s="25"/>
      <c r="R7" s="460"/>
      <c r="S7" s="25"/>
      <c r="T7" s="25"/>
      <c r="U7" s="25"/>
      <c r="V7" s="25"/>
    </row>
    <row r="8" spans="2:22" ht="15" x14ac:dyDescent="0.2">
      <c r="B8" s="12"/>
      <c r="C8" s="37"/>
      <c r="D8" s="67"/>
      <c r="E8" s="3190">
        <f t="shared" si="0"/>
        <v>0</v>
      </c>
      <c r="F8" s="3191"/>
      <c r="G8" s="27"/>
      <c r="H8" s="626">
        <f t="shared" si="1"/>
        <v>0</v>
      </c>
      <c r="I8" s="25"/>
      <c r="J8" s="3186">
        <f t="shared" si="2"/>
        <v>0</v>
      </c>
      <c r="K8" s="3187"/>
      <c r="L8" s="57">
        <f>H8*0.3</f>
        <v>0</v>
      </c>
      <c r="M8" s="460" t="s">
        <v>83</v>
      </c>
      <c r="N8" s="460"/>
      <c r="O8" s="25"/>
      <c r="P8" s="25"/>
      <c r="Q8" s="25"/>
      <c r="R8" s="460"/>
      <c r="S8" s="25"/>
      <c r="T8" s="25"/>
      <c r="U8" s="25"/>
      <c r="V8" s="25"/>
    </row>
    <row r="9" spans="2:22" ht="15" x14ac:dyDescent="0.2">
      <c r="B9" s="12"/>
      <c r="C9" s="37"/>
      <c r="D9" s="67"/>
      <c r="E9" s="3190">
        <f t="shared" si="0"/>
        <v>0</v>
      </c>
      <c r="F9" s="3191"/>
      <c r="G9" s="27"/>
      <c r="H9" s="626">
        <f t="shared" si="1"/>
        <v>0</v>
      </c>
      <c r="I9" s="25"/>
      <c r="J9" s="3186">
        <f t="shared" si="2"/>
        <v>0</v>
      </c>
      <c r="K9" s="3187"/>
      <c r="L9" s="57">
        <f>H9*0.3</f>
        <v>0</v>
      </c>
      <c r="M9" s="460" t="s">
        <v>83</v>
      </c>
      <c r="N9" s="460"/>
      <c r="O9" s="25"/>
      <c r="P9" s="25"/>
      <c r="Q9" s="25"/>
      <c r="R9" s="460"/>
      <c r="S9" s="25"/>
      <c r="T9" s="25"/>
      <c r="U9" s="25"/>
      <c r="V9" s="25"/>
    </row>
    <row r="10" spans="2:22" ht="15" x14ac:dyDescent="0.2">
      <c r="B10" s="12"/>
      <c r="C10" s="37"/>
      <c r="D10" s="67"/>
      <c r="E10" s="3190">
        <f t="shared" si="0"/>
        <v>0</v>
      </c>
      <c r="F10" s="3191"/>
      <c r="G10" s="27"/>
      <c r="H10" s="626">
        <f t="shared" si="1"/>
        <v>0</v>
      </c>
      <c r="I10" s="25"/>
      <c r="J10" s="3186">
        <f t="shared" si="2"/>
        <v>0</v>
      </c>
      <c r="K10" s="3187"/>
      <c r="L10" s="57"/>
      <c r="M10" s="460" t="s">
        <v>83</v>
      </c>
      <c r="N10" s="460"/>
      <c r="O10" s="25"/>
      <c r="P10" s="25"/>
      <c r="Q10" s="25"/>
      <c r="R10" s="460"/>
      <c r="S10" s="25"/>
      <c r="T10" s="25"/>
      <c r="U10" s="25"/>
      <c r="V10" s="25"/>
    </row>
    <row r="11" spans="2:22" ht="15" x14ac:dyDescent="0.2">
      <c r="B11" s="12"/>
      <c r="C11" s="37"/>
      <c r="D11" s="67"/>
      <c r="E11" s="3190">
        <f t="shared" si="0"/>
        <v>0</v>
      </c>
      <c r="F11" s="3191"/>
      <c r="G11" s="27"/>
      <c r="H11" s="626">
        <f t="shared" si="1"/>
        <v>0</v>
      </c>
      <c r="I11" s="25"/>
      <c r="J11" s="3186">
        <f t="shared" si="2"/>
        <v>0</v>
      </c>
      <c r="K11" s="3187"/>
      <c r="L11" s="57"/>
      <c r="M11" s="460" t="s">
        <v>83</v>
      </c>
      <c r="N11" s="460"/>
      <c r="O11" s="25"/>
      <c r="P11" s="25"/>
      <c r="Q11" s="25"/>
      <c r="R11" s="460"/>
      <c r="S11" s="25"/>
      <c r="T11" s="25"/>
      <c r="U11" s="25"/>
      <c r="V11" s="25"/>
    </row>
    <row r="12" spans="2:22" ht="15" x14ac:dyDescent="0.2">
      <c r="B12" s="12"/>
      <c r="C12" s="37"/>
      <c r="D12" s="31"/>
      <c r="E12" s="3190">
        <f t="shared" si="0"/>
        <v>0</v>
      </c>
      <c r="F12" s="3191"/>
      <c r="G12" s="27"/>
      <c r="H12" s="626">
        <f t="shared" si="1"/>
        <v>0</v>
      </c>
      <c r="I12" s="25"/>
      <c r="J12" s="3186">
        <f t="shared" si="2"/>
        <v>0</v>
      </c>
      <c r="K12" s="3187"/>
      <c r="L12" s="57"/>
      <c r="M12" s="460" t="s">
        <v>83</v>
      </c>
      <c r="N12" s="460"/>
      <c r="O12" s="25"/>
      <c r="P12" s="25"/>
      <c r="Q12" s="25"/>
      <c r="R12" s="460"/>
      <c r="S12" s="25"/>
      <c r="T12" s="25"/>
      <c r="U12" s="25"/>
      <c r="V12" s="25"/>
    </row>
    <row r="13" spans="2:22" ht="15" x14ac:dyDescent="0.2">
      <c r="B13" s="12"/>
      <c r="C13" s="37"/>
      <c r="D13" s="31"/>
      <c r="E13" s="3190">
        <f t="shared" si="0"/>
        <v>0</v>
      </c>
      <c r="F13" s="3191"/>
      <c r="G13" s="27"/>
      <c r="H13" s="626">
        <f t="shared" si="1"/>
        <v>0</v>
      </c>
      <c r="I13" s="25"/>
      <c r="J13" s="3186">
        <f t="shared" si="2"/>
        <v>0</v>
      </c>
      <c r="K13" s="3187"/>
      <c r="L13" s="57"/>
      <c r="M13" s="460" t="s">
        <v>83</v>
      </c>
      <c r="N13" s="460"/>
      <c r="O13" s="25"/>
      <c r="P13" s="25"/>
      <c r="Q13" s="25"/>
      <c r="R13" s="460"/>
      <c r="S13" s="25"/>
      <c r="T13" s="25"/>
      <c r="U13" s="25"/>
      <c r="V13" s="25"/>
    </row>
    <row r="14" spans="2:22" ht="15" x14ac:dyDescent="0.2">
      <c r="B14" s="12"/>
      <c r="C14" s="37"/>
      <c r="D14" s="31"/>
      <c r="E14" s="3190">
        <f t="shared" si="0"/>
        <v>0</v>
      </c>
      <c r="F14" s="3191"/>
      <c r="G14" s="27"/>
      <c r="H14" s="626">
        <f t="shared" si="1"/>
        <v>0</v>
      </c>
      <c r="I14" s="25"/>
      <c r="J14" s="3186">
        <f t="shared" si="2"/>
        <v>0</v>
      </c>
      <c r="K14" s="3187"/>
      <c r="L14" s="57"/>
      <c r="M14" s="460" t="s">
        <v>83</v>
      </c>
      <c r="N14" s="460"/>
      <c r="O14" s="25"/>
      <c r="P14" s="25"/>
      <c r="Q14" s="25"/>
      <c r="R14" s="460"/>
      <c r="S14" s="25"/>
      <c r="T14" s="25"/>
      <c r="U14" s="25"/>
      <c r="V14" s="25"/>
    </row>
    <row r="15" spans="2:22" ht="15" x14ac:dyDescent="0.2">
      <c r="B15" s="12"/>
      <c r="C15" s="37"/>
      <c r="D15" s="31"/>
      <c r="E15" s="3190">
        <f t="shared" si="0"/>
        <v>0</v>
      </c>
      <c r="F15" s="3191"/>
      <c r="G15" s="27"/>
      <c r="H15" s="626">
        <f t="shared" si="1"/>
        <v>0</v>
      </c>
      <c r="I15" s="25"/>
      <c r="J15" s="3186">
        <f t="shared" si="2"/>
        <v>0</v>
      </c>
      <c r="K15" s="3187"/>
      <c r="L15" s="57"/>
      <c r="M15" s="460" t="s">
        <v>83</v>
      </c>
      <c r="N15" s="460"/>
      <c r="O15" s="25"/>
      <c r="P15" s="25"/>
      <c r="Q15" s="25"/>
      <c r="R15" s="460"/>
      <c r="S15" s="25"/>
      <c r="T15" s="25"/>
      <c r="U15" s="25"/>
      <c r="V15" s="25"/>
    </row>
    <row r="16" spans="2:22" ht="15" x14ac:dyDescent="0.2">
      <c r="B16" s="12"/>
      <c r="C16" s="37"/>
      <c r="D16" s="31"/>
      <c r="E16" s="3190">
        <f t="shared" si="0"/>
        <v>0</v>
      </c>
      <c r="F16" s="3191"/>
      <c r="G16" s="27"/>
      <c r="H16" s="626">
        <f t="shared" si="1"/>
        <v>0</v>
      </c>
      <c r="I16" s="25"/>
      <c r="J16" s="3186">
        <f t="shared" si="2"/>
        <v>0</v>
      </c>
      <c r="K16" s="3187"/>
      <c r="L16" s="351"/>
      <c r="M16" s="460" t="s">
        <v>83</v>
      </c>
      <c r="N16" s="460"/>
      <c r="O16" s="25"/>
      <c r="P16" s="25"/>
      <c r="Q16" s="25"/>
      <c r="R16" s="460"/>
      <c r="S16" s="25"/>
      <c r="T16" s="25"/>
      <c r="U16" s="25"/>
      <c r="V16" s="25"/>
    </row>
    <row r="17" spans="1:53" ht="15" x14ac:dyDescent="0.2">
      <c r="B17" s="12"/>
      <c r="C17" s="37"/>
      <c r="D17" s="31"/>
      <c r="E17" s="3190">
        <f t="shared" si="0"/>
        <v>0</v>
      </c>
      <c r="F17" s="3191"/>
      <c r="G17" s="27"/>
      <c r="H17" s="626">
        <f t="shared" si="1"/>
        <v>0</v>
      </c>
      <c r="I17" s="25"/>
      <c r="J17" s="3186">
        <f t="shared" si="2"/>
        <v>0</v>
      </c>
      <c r="K17" s="3187"/>
      <c r="L17" s="351"/>
      <c r="M17" s="460" t="s">
        <v>83</v>
      </c>
      <c r="N17" s="460"/>
      <c r="O17" s="25"/>
      <c r="P17" s="25"/>
      <c r="Q17" s="25"/>
      <c r="R17" s="460"/>
      <c r="S17" s="25"/>
      <c r="T17" s="25"/>
      <c r="U17" s="25"/>
      <c r="V17" s="25"/>
    </row>
    <row r="18" spans="1:53" ht="15" x14ac:dyDescent="0.2">
      <c r="B18" s="12"/>
      <c r="C18" s="37"/>
      <c r="D18" s="31"/>
      <c r="E18" s="3190">
        <f t="shared" si="0"/>
        <v>0</v>
      </c>
      <c r="F18" s="3191"/>
      <c r="G18" s="27"/>
      <c r="H18" s="626">
        <f t="shared" si="1"/>
        <v>0</v>
      </c>
      <c r="I18" s="25"/>
      <c r="J18" s="3186">
        <f t="shared" si="2"/>
        <v>0</v>
      </c>
      <c r="K18" s="3187"/>
      <c r="L18" s="351"/>
      <c r="M18" s="460" t="s">
        <v>83</v>
      </c>
      <c r="N18" s="460"/>
      <c r="O18" s="25"/>
      <c r="P18" s="25"/>
      <c r="Q18" s="25"/>
      <c r="R18" s="460"/>
      <c r="S18" s="25"/>
      <c r="T18" s="25"/>
      <c r="U18" s="25"/>
      <c r="V18" s="25"/>
    </row>
    <row r="19" spans="1:53" ht="15" x14ac:dyDescent="0.2">
      <c r="B19" s="12"/>
      <c r="C19" s="37"/>
      <c r="D19" s="31"/>
      <c r="E19" s="3190">
        <f t="shared" si="0"/>
        <v>0</v>
      </c>
      <c r="F19" s="3191"/>
      <c r="G19" s="27"/>
      <c r="H19" s="626">
        <f t="shared" si="1"/>
        <v>0</v>
      </c>
      <c r="I19" s="25"/>
      <c r="J19" s="3186">
        <f t="shared" si="2"/>
        <v>0</v>
      </c>
      <c r="K19" s="3187"/>
      <c r="L19" s="351"/>
      <c r="M19" s="460" t="s">
        <v>83</v>
      </c>
      <c r="N19" s="460"/>
      <c r="O19" s="25"/>
      <c r="P19" s="25"/>
      <c r="Q19" s="25"/>
      <c r="R19" s="460"/>
      <c r="S19" s="25"/>
      <c r="T19" s="25"/>
      <c r="U19" s="25"/>
      <c r="V19" s="25"/>
    </row>
    <row r="20" spans="1:53" ht="15" x14ac:dyDescent="0.2">
      <c r="B20" s="12"/>
      <c r="C20" s="37"/>
      <c r="D20" s="31"/>
      <c r="E20" s="3190">
        <f t="shared" si="0"/>
        <v>0</v>
      </c>
      <c r="F20" s="3191"/>
      <c r="G20" s="27"/>
      <c r="H20" s="626">
        <f t="shared" si="1"/>
        <v>0</v>
      </c>
      <c r="I20" s="25"/>
      <c r="J20" s="3186">
        <f t="shared" si="2"/>
        <v>0</v>
      </c>
      <c r="K20" s="3187"/>
      <c r="L20" s="351"/>
      <c r="M20" s="460" t="s">
        <v>83</v>
      </c>
      <c r="N20" s="460"/>
      <c r="O20" s="25"/>
      <c r="P20" s="25"/>
      <c r="Q20" s="25"/>
      <c r="R20" s="460"/>
      <c r="S20" s="25"/>
      <c r="T20" s="25"/>
      <c r="U20" s="25"/>
      <c r="V20" s="25"/>
    </row>
    <row r="21" spans="1:53" ht="15" x14ac:dyDescent="0.2">
      <c r="B21" s="12"/>
      <c r="C21" s="37"/>
      <c r="D21" s="31"/>
      <c r="E21" s="3190">
        <f t="shared" si="0"/>
        <v>0</v>
      </c>
      <c r="F21" s="3191"/>
      <c r="G21" s="27"/>
      <c r="H21" s="626">
        <f t="shared" si="1"/>
        <v>0</v>
      </c>
      <c r="I21" s="25"/>
      <c r="J21" s="3186">
        <f t="shared" si="2"/>
        <v>0</v>
      </c>
      <c r="K21" s="3187"/>
      <c r="L21" s="351"/>
      <c r="M21" s="460" t="s">
        <v>83</v>
      </c>
      <c r="N21" s="460"/>
      <c r="O21" s="25"/>
      <c r="P21" s="25"/>
      <c r="Q21" s="25"/>
      <c r="R21" s="460"/>
      <c r="S21" s="25"/>
      <c r="T21" s="25"/>
      <c r="U21" s="25"/>
      <c r="V21" s="25"/>
    </row>
    <row r="22" spans="1:53" ht="15" x14ac:dyDescent="0.2">
      <c r="B22" s="17"/>
      <c r="C22" s="38"/>
      <c r="D22" s="32"/>
      <c r="E22" s="3190">
        <f t="shared" si="0"/>
        <v>0</v>
      </c>
      <c r="F22" s="3191"/>
      <c r="G22" s="27"/>
      <c r="H22" s="626">
        <f t="shared" si="1"/>
        <v>0</v>
      </c>
      <c r="I22" s="25"/>
      <c r="J22" s="3186">
        <f t="shared" si="2"/>
        <v>0</v>
      </c>
      <c r="K22" s="3187"/>
      <c r="L22" s="351"/>
      <c r="M22" s="460" t="s">
        <v>83</v>
      </c>
      <c r="N22" s="460"/>
      <c r="O22" s="25"/>
      <c r="P22" s="25"/>
      <c r="Q22" s="25"/>
      <c r="R22" s="460"/>
      <c r="S22" s="25"/>
      <c r="T22" s="25"/>
      <c r="U22" s="25"/>
      <c r="V22" s="25"/>
      <c r="W22" s="25"/>
    </row>
    <row r="23" spans="1:53" ht="15" x14ac:dyDescent="0.2">
      <c r="B23" s="17"/>
      <c r="C23" s="38"/>
      <c r="D23" s="32"/>
      <c r="E23" s="3190">
        <f>C23*D23</f>
        <v>0</v>
      </c>
      <c r="F23" s="3191"/>
      <c r="G23" s="27"/>
      <c r="H23" s="626">
        <f t="shared" si="1"/>
        <v>0</v>
      </c>
      <c r="I23" s="25"/>
      <c r="J23" s="3186">
        <f t="shared" si="2"/>
        <v>0</v>
      </c>
      <c r="K23" s="3187"/>
      <c r="L23" s="351"/>
      <c r="M23" s="460" t="s">
        <v>83</v>
      </c>
      <c r="N23" s="460"/>
      <c r="O23" s="460" t="s">
        <v>83</v>
      </c>
      <c r="P23" s="460" t="s">
        <v>83</v>
      </c>
      <c r="Q23" s="460" t="s">
        <v>83</v>
      </c>
      <c r="R23" s="460" t="s">
        <v>102</v>
      </c>
      <c r="S23" s="25"/>
      <c r="T23" s="25"/>
      <c r="U23" s="25"/>
      <c r="V23" s="25"/>
      <c r="W23" s="25"/>
    </row>
    <row r="24" spans="1:53" ht="16.5" thickBot="1" x14ac:dyDescent="0.3">
      <c r="B24" s="469"/>
      <c r="C24" s="470"/>
      <c r="D24" s="470"/>
      <c r="E24" s="3193">
        <f>SUM(E5:E23)</f>
        <v>80000</v>
      </c>
      <c r="F24" s="3194"/>
      <c r="G24" s="471"/>
      <c r="H24" s="472">
        <f>SUMIF(H5:H23,"&gt;0",H5:H23)</f>
        <v>2880</v>
      </c>
      <c r="I24" s="25"/>
      <c r="J24" s="3200" t="s">
        <v>290</v>
      </c>
      <c r="K24" s="3201"/>
      <c r="L24" s="473">
        <f>SUMIF(L5:L23,"&gt;0",L5:L23)</f>
        <v>0</v>
      </c>
      <c r="M24" s="460" t="s">
        <v>83</v>
      </c>
      <c r="N24" s="460"/>
      <c r="O24" s="460" t="s">
        <v>83</v>
      </c>
      <c r="P24" s="460" t="s">
        <v>83</v>
      </c>
      <c r="Q24" s="460" t="s">
        <v>83</v>
      </c>
      <c r="R24" s="460" t="s">
        <v>102</v>
      </c>
      <c r="S24" s="25"/>
      <c r="T24" s="25"/>
      <c r="U24" s="25"/>
      <c r="V24" s="25"/>
      <c r="W24" s="25"/>
    </row>
    <row r="25" spans="1:53" ht="13.5" thickBot="1" x14ac:dyDescent="0.25">
      <c r="A25" s="25"/>
      <c r="B25" s="69"/>
      <c r="C25" s="25"/>
      <c r="D25" s="25"/>
      <c r="E25" s="25"/>
      <c r="F25" s="25"/>
      <c r="G25" s="25"/>
      <c r="H25" s="25"/>
      <c r="I25" s="25"/>
      <c r="J25" s="25"/>
      <c r="K25" s="25"/>
      <c r="L25" s="25"/>
      <c r="M25" s="25"/>
      <c r="N25" s="25"/>
      <c r="O25" s="25"/>
      <c r="P25" s="25"/>
      <c r="Q25" s="25"/>
      <c r="R25" s="460" t="s">
        <v>102</v>
      </c>
      <c r="S25" s="25"/>
      <c r="T25" s="25"/>
      <c r="U25" s="25"/>
      <c r="V25" s="25"/>
      <c r="W25" s="25"/>
    </row>
    <row r="26" spans="1:53" ht="16.5" thickBot="1" x14ac:dyDescent="0.3">
      <c r="A26" s="25"/>
      <c r="B26" s="3202" t="s">
        <v>291</v>
      </c>
      <c r="C26" s="3203"/>
      <c r="D26" s="3203"/>
      <c r="E26" s="3203"/>
      <c r="F26" s="3203"/>
      <c r="G26" s="3203"/>
      <c r="H26" s="3203"/>
      <c r="I26" s="3203"/>
      <c r="J26" s="3203"/>
      <c r="K26" s="3203"/>
      <c r="L26" s="3203"/>
      <c r="M26" s="3203"/>
      <c r="N26" s="3203"/>
      <c r="O26" s="3204"/>
      <c r="P26" s="25"/>
      <c r="Q26" s="25"/>
      <c r="R26" s="460" t="s">
        <v>102</v>
      </c>
      <c r="S26" s="25"/>
      <c r="T26" s="25"/>
      <c r="U26" s="25"/>
      <c r="V26" s="25"/>
      <c r="W26" s="25"/>
    </row>
    <row r="27" spans="1:53" ht="13.5" thickBot="1" x14ac:dyDescent="0.25">
      <c r="B27" s="474"/>
      <c r="C27" s="474"/>
      <c r="D27" s="474"/>
      <c r="E27" s="474"/>
      <c r="F27" s="474"/>
      <c r="G27" s="3196" t="s">
        <v>147</v>
      </c>
      <c r="H27" s="3205"/>
      <c r="I27" s="3197"/>
      <c r="J27" s="3196" t="s">
        <v>148</v>
      </c>
      <c r="K27" s="3197"/>
      <c r="L27" s="3198" t="s">
        <v>165</v>
      </c>
      <c r="M27" s="3199"/>
      <c r="N27" s="2058"/>
      <c r="O27" s="475" t="s">
        <v>294</v>
      </c>
      <c r="P27" s="23"/>
      <c r="Q27" s="23"/>
      <c r="R27" s="460" t="s">
        <v>102</v>
      </c>
      <c r="S27" s="3195"/>
      <c r="T27" s="3195"/>
      <c r="U27" s="477"/>
      <c r="V27" s="477"/>
      <c r="W27" s="25"/>
    </row>
    <row r="28" spans="1:53" ht="60" customHeight="1" thickBot="1" x14ac:dyDescent="0.25">
      <c r="B28" s="478"/>
      <c r="C28" s="481" t="str">
        <f>IF(PRODUÇÃO!C43+PRODUÇÃO!G76=0,0,"LEITE")</f>
        <v>LEITE</v>
      </c>
      <c r="D28" s="481">
        <f>IF(PRODUÇÃO!E82=0,0,"SUINOS")</f>
        <v>0</v>
      </c>
      <c r="E28" s="481">
        <f>IF(PRODUÇÃO!E83+PRODUÇÃO!E84=0,0,"aves")</f>
        <v>0</v>
      </c>
      <c r="F28" s="479">
        <f>IF(PRODUÇÃO!E85=0,0,"outros animais")</f>
        <v>0</v>
      </c>
      <c r="G28" s="480">
        <f>IF(PRODUÇÃO!L9=0,0,SOLO!G9)</f>
        <v>0</v>
      </c>
      <c r="H28" s="481">
        <f>IF(PRODUÇÃO!L10=0,0,SOLO!G10)</f>
        <v>0</v>
      </c>
      <c r="I28" s="482">
        <f>IF(PRODUÇÃO!L11=0,0,SOLO!G11)</f>
        <v>0</v>
      </c>
      <c r="J28" s="483">
        <f>IF(PRODUÇÃO!L12=0,0,SOLO!G13)</f>
        <v>0</v>
      </c>
      <c r="K28" s="481">
        <f>IF(PRODUÇÃO!L13=0,0,SOLO!G14)</f>
        <v>0</v>
      </c>
      <c r="L28" s="484">
        <f>IF(SOLO!I78=0,0,SOLO!G78)</f>
        <v>0</v>
      </c>
      <c r="M28" s="1690">
        <f>IF(SOLO!I79=0,0,SOLO!G79)</f>
        <v>0</v>
      </c>
      <c r="N28" s="1691">
        <f>IF(SOLO!I80=0,0,SOLO!G80)</f>
        <v>0</v>
      </c>
      <c r="O28" s="1691" t="s">
        <v>295</v>
      </c>
      <c r="P28" s="3192" t="s">
        <v>68</v>
      </c>
      <c r="Q28" s="3192"/>
      <c r="R28" s="460" t="s">
        <v>102</v>
      </c>
      <c r="S28" s="477"/>
      <c r="T28" s="477"/>
      <c r="U28" s="477"/>
      <c r="V28" s="477"/>
      <c r="W28" s="25"/>
      <c r="AX28" s="24">
        <f>AL28</f>
        <v>0</v>
      </c>
      <c r="AY28" s="24">
        <f>AM28</f>
        <v>0</v>
      </c>
      <c r="AZ28" s="24">
        <f>AN28</f>
        <v>0</v>
      </c>
      <c r="BA28" s="24">
        <f>AO28</f>
        <v>0</v>
      </c>
    </row>
    <row r="29" spans="1:53" ht="16.5" thickBot="1" x14ac:dyDescent="0.3">
      <c r="B29" s="485" t="str">
        <f t="shared" ref="B29:B42" si="3">B5</f>
        <v>Trator</v>
      </c>
      <c r="C29" s="68">
        <v>100</v>
      </c>
      <c r="D29" s="967"/>
      <c r="E29" s="967"/>
      <c r="F29" s="967"/>
      <c r="G29" s="967"/>
      <c r="H29" s="967"/>
      <c r="I29" s="967"/>
      <c r="J29" s="967"/>
      <c r="K29" s="967"/>
      <c r="L29" s="968"/>
      <c r="M29" s="969"/>
      <c r="N29" s="969"/>
      <c r="O29" s="969"/>
      <c r="P29" s="486">
        <f>SUM(C29:O29)</f>
        <v>100</v>
      </c>
      <c r="Q29" s="487" t="b">
        <f>IF(H5&gt;0,P29=100,IF(H5=0,P29=0))</f>
        <v>1</v>
      </c>
      <c r="R29" s="460" t="s">
        <v>102</v>
      </c>
      <c r="S29" s="25"/>
      <c r="T29" s="25"/>
      <c r="U29" s="25"/>
      <c r="V29" s="25"/>
      <c r="W29" s="25"/>
      <c r="X29" s="488"/>
    </row>
    <row r="30" spans="1:53" ht="16.5" thickBot="1" x14ac:dyDescent="0.3">
      <c r="B30" s="489">
        <f t="shared" si="3"/>
        <v>0</v>
      </c>
      <c r="C30" s="63"/>
      <c r="D30" s="63"/>
      <c r="E30" s="63"/>
      <c r="F30" s="63"/>
      <c r="G30" s="68"/>
      <c r="H30" s="68"/>
      <c r="I30" s="68"/>
      <c r="J30" s="68"/>
      <c r="K30" s="68"/>
      <c r="L30" s="120"/>
      <c r="M30" s="125"/>
      <c r="N30" s="125"/>
      <c r="O30" s="125"/>
      <c r="P30" s="486">
        <f t="shared" ref="P30:P47" si="4">SUM(C30:O30)</f>
        <v>0</v>
      </c>
      <c r="Q30" s="487" t="b">
        <f t="shared" ref="Q30:Q47" si="5">IF(H6&gt;0,P30=100,IF(H6=0,P30=0))</f>
        <v>1</v>
      </c>
      <c r="R30" s="460" t="s">
        <v>102</v>
      </c>
      <c r="S30" s="25"/>
      <c r="T30" s="25"/>
      <c r="U30" s="25"/>
      <c r="V30" s="25"/>
      <c r="W30" s="25"/>
      <c r="X30" s="488"/>
    </row>
    <row r="31" spans="1:53" ht="16.5" thickBot="1" x14ac:dyDescent="0.3">
      <c r="B31" s="489">
        <f t="shared" si="3"/>
        <v>0</v>
      </c>
      <c r="C31" s="63"/>
      <c r="D31" s="63"/>
      <c r="E31" s="63"/>
      <c r="F31" s="63"/>
      <c r="G31" s="68"/>
      <c r="H31" s="68"/>
      <c r="I31" s="68"/>
      <c r="J31" s="68"/>
      <c r="K31" s="68"/>
      <c r="L31" s="120"/>
      <c r="M31" s="125"/>
      <c r="N31" s="125"/>
      <c r="O31" s="125"/>
      <c r="P31" s="486">
        <f t="shared" si="4"/>
        <v>0</v>
      </c>
      <c r="Q31" s="487" t="b">
        <f t="shared" si="5"/>
        <v>1</v>
      </c>
      <c r="R31" s="460" t="s">
        <v>102</v>
      </c>
      <c r="S31" s="25"/>
      <c r="T31" s="25"/>
      <c r="U31" s="25"/>
      <c r="V31" s="25"/>
      <c r="W31" s="25"/>
      <c r="X31" s="488"/>
    </row>
    <row r="32" spans="1:53" ht="16.5" thickBot="1" x14ac:dyDescent="0.3">
      <c r="B32" s="489">
        <f t="shared" si="3"/>
        <v>0</v>
      </c>
      <c r="C32" s="63"/>
      <c r="D32" s="63"/>
      <c r="E32" s="63"/>
      <c r="F32" s="63"/>
      <c r="G32" s="68"/>
      <c r="H32" s="68"/>
      <c r="I32" s="68"/>
      <c r="J32" s="68"/>
      <c r="K32" s="68"/>
      <c r="L32" s="120"/>
      <c r="M32" s="125"/>
      <c r="N32" s="125"/>
      <c r="O32" s="125"/>
      <c r="P32" s="486">
        <f t="shared" si="4"/>
        <v>0</v>
      </c>
      <c r="Q32" s="487" t="b">
        <f t="shared" si="5"/>
        <v>1</v>
      </c>
      <c r="R32" s="460" t="s">
        <v>102</v>
      </c>
      <c r="S32" s="25"/>
      <c r="T32" s="25"/>
      <c r="U32" s="25"/>
      <c r="V32" s="25"/>
      <c r="W32" s="25"/>
      <c r="X32" s="488"/>
    </row>
    <row r="33" spans="2:24" ht="16.5" thickBot="1" x14ac:dyDescent="0.3">
      <c r="B33" s="489">
        <f t="shared" si="3"/>
        <v>0</v>
      </c>
      <c r="C33" s="63"/>
      <c r="D33" s="63"/>
      <c r="E33" s="63"/>
      <c r="F33" s="63"/>
      <c r="G33" s="63"/>
      <c r="H33" s="63"/>
      <c r="I33" s="63"/>
      <c r="J33" s="63"/>
      <c r="K33" s="63"/>
      <c r="L33" s="63"/>
      <c r="M33" s="123"/>
      <c r="N33" s="123"/>
      <c r="O33" s="123"/>
      <c r="P33" s="486">
        <f t="shared" si="4"/>
        <v>0</v>
      </c>
      <c r="Q33" s="487" t="b">
        <f t="shared" si="5"/>
        <v>1</v>
      </c>
      <c r="R33" s="460" t="s">
        <v>102</v>
      </c>
      <c r="S33" s="490"/>
      <c r="T33" s="490"/>
      <c r="U33" s="25"/>
      <c r="V33" s="25"/>
      <c r="W33" s="25"/>
      <c r="X33" s="488"/>
    </row>
    <row r="34" spans="2:24" ht="16.5" thickBot="1" x14ac:dyDescent="0.3">
      <c r="B34" s="489">
        <f t="shared" si="3"/>
        <v>0</v>
      </c>
      <c r="C34" s="63"/>
      <c r="D34" s="63"/>
      <c r="E34" s="63"/>
      <c r="F34" s="63"/>
      <c r="G34" s="63"/>
      <c r="H34" s="63"/>
      <c r="I34" s="63"/>
      <c r="J34" s="63"/>
      <c r="K34" s="63"/>
      <c r="L34" s="63"/>
      <c r="M34" s="123"/>
      <c r="N34" s="123"/>
      <c r="O34" s="123"/>
      <c r="P34" s="486">
        <f t="shared" si="4"/>
        <v>0</v>
      </c>
      <c r="Q34" s="487" t="b">
        <f t="shared" si="5"/>
        <v>1</v>
      </c>
      <c r="R34" s="460" t="s">
        <v>102</v>
      </c>
      <c r="S34" s="490"/>
      <c r="T34" s="490"/>
      <c r="U34" s="25"/>
      <c r="V34" s="25"/>
      <c r="W34" s="25"/>
    </row>
    <row r="35" spans="2:24" ht="16.5" thickBot="1" x14ac:dyDescent="0.3">
      <c r="B35" s="489">
        <f t="shared" si="3"/>
        <v>0</v>
      </c>
      <c r="C35" s="63"/>
      <c r="D35" s="63"/>
      <c r="E35" s="63"/>
      <c r="F35" s="63"/>
      <c r="G35" s="63"/>
      <c r="H35" s="63"/>
      <c r="I35" s="63"/>
      <c r="J35" s="63"/>
      <c r="K35" s="63"/>
      <c r="L35" s="63"/>
      <c r="M35" s="123"/>
      <c r="N35" s="123"/>
      <c r="O35" s="123"/>
      <c r="P35" s="486">
        <f t="shared" si="4"/>
        <v>0</v>
      </c>
      <c r="Q35" s="487" t="b">
        <f t="shared" si="5"/>
        <v>1</v>
      </c>
      <c r="R35" s="460" t="s">
        <v>102</v>
      </c>
      <c r="S35" s="490"/>
      <c r="T35" s="490"/>
      <c r="U35" s="25"/>
      <c r="V35" s="25"/>
      <c r="W35" s="25"/>
    </row>
    <row r="36" spans="2:24" ht="16.5" thickBot="1" x14ac:dyDescent="0.3">
      <c r="B36" s="489">
        <f t="shared" si="3"/>
        <v>0</v>
      </c>
      <c r="C36" s="63"/>
      <c r="D36" s="63"/>
      <c r="E36" s="63"/>
      <c r="F36" s="63"/>
      <c r="G36" s="63"/>
      <c r="H36" s="63"/>
      <c r="I36" s="63"/>
      <c r="J36" s="63"/>
      <c r="K36" s="63"/>
      <c r="L36" s="66"/>
      <c r="M36" s="124"/>
      <c r="N36" s="124"/>
      <c r="O36" s="124"/>
      <c r="P36" s="486">
        <f t="shared" si="4"/>
        <v>0</v>
      </c>
      <c r="Q36" s="487" t="b">
        <f t="shared" si="5"/>
        <v>1</v>
      </c>
      <c r="R36" s="460" t="s">
        <v>102</v>
      </c>
      <c r="S36" s="25"/>
      <c r="T36" s="25"/>
      <c r="U36" s="25"/>
      <c r="V36" s="25"/>
      <c r="W36" s="25"/>
    </row>
    <row r="37" spans="2:24" ht="16.5" thickBot="1" x14ac:dyDescent="0.3">
      <c r="B37" s="489">
        <f t="shared" si="3"/>
        <v>0</v>
      </c>
      <c r="C37" s="63"/>
      <c r="D37" s="63"/>
      <c r="E37" s="63"/>
      <c r="F37" s="63"/>
      <c r="G37" s="63"/>
      <c r="H37" s="63"/>
      <c r="I37" s="63"/>
      <c r="J37" s="63"/>
      <c r="K37" s="63"/>
      <c r="L37" s="66"/>
      <c r="M37" s="116"/>
      <c r="N37" s="116"/>
      <c r="O37" s="116"/>
      <c r="P37" s="486">
        <f t="shared" si="4"/>
        <v>0</v>
      </c>
      <c r="Q37" s="487" t="b">
        <f t="shared" si="5"/>
        <v>1</v>
      </c>
      <c r="R37" s="460" t="s">
        <v>102</v>
      </c>
      <c r="S37" s="25"/>
      <c r="T37" s="25"/>
      <c r="U37" s="25"/>
      <c r="V37" s="25"/>
      <c r="W37" s="25"/>
    </row>
    <row r="38" spans="2:24" ht="16.5" thickBot="1" x14ac:dyDescent="0.3">
      <c r="B38" s="489">
        <f t="shared" si="3"/>
        <v>0</v>
      </c>
      <c r="C38" s="63"/>
      <c r="D38" s="63"/>
      <c r="E38" s="63"/>
      <c r="F38" s="63"/>
      <c r="G38" s="63"/>
      <c r="H38" s="63"/>
      <c r="I38" s="63"/>
      <c r="J38" s="63"/>
      <c r="K38" s="63"/>
      <c r="L38" s="66"/>
      <c r="M38" s="116"/>
      <c r="N38" s="116"/>
      <c r="O38" s="116"/>
      <c r="P38" s="486">
        <f t="shared" si="4"/>
        <v>0</v>
      </c>
      <c r="Q38" s="487" t="b">
        <f t="shared" si="5"/>
        <v>1</v>
      </c>
      <c r="R38" s="460" t="s">
        <v>102</v>
      </c>
      <c r="S38" s="56"/>
      <c r="T38" s="56"/>
      <c r="U38" s="25"/>
      <c r="V38" s="25"/>
      <c r="W38" s="25"/>
    </row>
    <row r="39" spans="2:24" ht="16.5" thickBot="1" x14ac:dyDescent="0.3">
      <c r="B39" s="489">
        <f t="shared" si="3"/>
        <v>0</v>
      </c>
      <c r="C39" s="63"/>
      <c r="D39" s="63"/>
      <c r="E39" s="63"/>
      <c r="F39" s="63"/>
      <c r="G39" s="63"/>
      <c r="H39" s="63"/>
      <c r="I39" s="63"/>
      <c r="J39" s="63"/>
      <c r="K39" s="63"/>
      <c r="L39" s="66"/>
      <c r="M39" s="116"/>
      <c r="N39" s="116"/>
      <c r="O39" s="116"/>
      <c r="P39" s="486">
        <f t="shared" si="4"/>
        <v>0</v>
      </c>
      <c r="Q39" s="487" t="b">
        <f t="shared" si="5"/>
        <v>1</v>
      </c>
      <c r="R39" s="460" t="s">
        <v>102</v>
      </c>
      <c r="S39" s="25"/>
      <c r="T39" s="25"/>
      <c r="U39" s="25"/>
      <c r="V39" s="25"/>
      <c r="W39" s="25"/>
    </row>
    <row r="40" spans="2:24" ht="16.5" thickBot="1" x14ac:dyDescent="0.3">
      <c r="B40" s="489">
        <f t="shared" si="3"/>
        <v>0</v>
      </c>
      <c r="C40" s="63"/>
      <c r="D40" s="63"/>
      <c r="E40" s="63"/>
      <c r="F40" s="63"/>
      <c r="G40" s="63"/>
      <c r="H40" s="63"/>
      <c r="I40" s="63"/>
      <c r="J40" s="63"/>
      <c r="K40" s="63"/>
      <c r="L40" s="66"/>
      <c r="M40" s="116"/>
      <c r="N40" s="116"/>
      <c r="O40" s="116"/>
      <c r="P40" s="486">
        <f t="shared" si="4"/>
        <v>0</v>
      </c>
      <c r="Q40" s="487" t="b">
        <f t="shared" si="5"/>
        <v>1</v>
      </c>
      <c r="R40" s="460" t="s">
        <v>102</v>
      </c>
      <c r="S40" s="25"/>
      <c r="T40" s="25"/>
      <c r="U40" s="25"/>
      <c r="V40" s="25"/>
      <c r="W40" s="25"/>
    </row>
    <row r="41" spans="2:24" ht="16.5" thickBot="1" x14ac:dyDescent="0.3">
      <c r="B41" s="489">
        <f t="shared" si="3"/>
        <v>0</v>
      </c>
      <c r="C41" s="63"/>
      <c r="D41" s="63"/>
      <c r="E41" s="63"/>
      <c r="F41" s="63"/>
      <c r="G41" s="63"/>
      <c r="H41" s="63"/>
      <c r="I41" s="63"/>
      <c r="J41" s="63"/>
      <c r="K41" s="63"/>
      <c r="L41" s="66"/>
      <c r="M41" s="116"/>
      <c r="N41" s="116"/>
      <c r="O41" s="116"/>
      <c r="P41" s="486">
        <f t="shared" si="4"/>
        <v>0</v>
      </c>
      <c r="Q41" s="487" t="b">
        <f t="shared" si="5"/>
        <v>1</v>
      </c>
      <c r="R41" s="460" t="s">
        <v>102</v>
      </c>
      <c r="S41" s="25"/>
      <c r="T41" s="25"/>
      <c r="U41" s="25"/>
      <c r="V41" s="25"/>
      <c r="W41" s="25"/>
    </row>
    <row r="42" spans="2:24" ht="16.5" thickBot="1" x14ac:dyDescent="0.3">
      <c r="B42" s="489">
        <f t="shared" si="3"/>
        <v>0</v>
      </c>
      <c r="C42" s="63"/>
      <c r="D42" s="63"/>
      <c r="E42" s="63"/>
      <c r="F42" s="63"/>
      <c r="G42" s="63"/>
      <c r="H42" s="63"/>
      <c r="I42" s="63"/>
      <c r="J42" s="63"/>
      <c r="K42" s="63"/>
      <c r="L42" s="66"/>
      <c r="M42" s="116"/>
      <c r="N42" s="116"/>
      <c r="O42" s="116"/>
      <c r="P42" s="486">
        <f t="shared" si="4"/>
        <v>0</v>
      </c>
      <c r="Q42" s="487" t="b">
        <f t="shared" si="5"/>
        <v>1</v>
      </c>
      <c r="R42" s="460" t="s">
        <v>102</v>
      </c>
      <c r="S42" s="25"/>
      <c r="T42" s="25"/>
      <c r="U42" s="25"/>
      <c r="V42" s="25"/>
      <c r="W42" s="25"/>
    </row>
    <row r="43" spans="2:24" ht="16.5" thickBot="1" x14ac:dyDescent="0.3">
      <c r="B43" s="491">
        <f>B19</f>
        <v>0</v>
      </c>
      <c r="C43" s="63"/>
      <c r="D43" s="63"/>
      <c r="E43" s="63"/>
      <c r="F43" s="63"/>
      <c r="G43" s="63"/>
      <c r="H43" s="63"/>
      <c r="I43" s="63"/>
      <c r="J43" s="63"/>
      <c r="K43" s="63"/>
      <c r="L43" s="66"/>
      <c r="M43" s="116"/>
      <c r="N43" s="116"/>
      <c r="O43" s="116"/>
      <c r="P43" s="486">
        <f t="shared" si="4"/>
        <v>0</v>
      </c>
      <c r="Q43" s="487" t="b">
        <f t="shared" si="5"/>
        <v>1</v>
      </c>
      <c r="R43" s="460" t="s">
        <v>102</v>
      </c>
      <c r="S43" s="25"/>
      <c r="T43" s="25"/>
      <c r="U43" s="25"/>
      <c r="V43" s="25"/>
      <c r="W43" s="25"/>
    </row>
    <row r="44" spans="2:24" ht="16.5" thickBot="1" x14ac:dyDescent="0.3">
      <c r="B44" s="491">
        <f>B20</f>
        <v>0</v>
      </c>
      <c r="C44" s="121"/>
      <c r="D44" s="63"/>
      <c r="E44" s="63"/>
      <c r="F44" s="63"/>
      <c r="G44" s="121"/>
      <c r="H44" s="121"/>
      <c r="I44" s="121"/>
      <c r="J44" s="121"/>
      <c r="K44" s="121"/>
      <c r="L44" s="122"/>
      <c r="M44" s="126"/>
      <c r="N44" s="126"/>
      <c r="O44" s="126"/>
      <c r="P44" s="486">
        <f t="shared" si="4"/>
        <v>0</v>
      </c>
      <c r="Q44" s="487" t="b">
        <f t="shared" si="5"/>
        <v>1</v>
      </c>
      <c r="R44" s="460" t="s">
        <v>102</v>
      </c>
      <c r="S44" s="25"/>
      <c r="T44" s="25"/>
      <c r="U44" s="25"/>
      <c r="V44" s="25"/>
      <c r="W44" s="25"/>
    </row>
    <row r="45" spans="2:24" ht="16.5" thickBot="1" x14ac:dyDescent="0.3">
      <c r="B45" s="491">
        <f>B21</f>
        <v>0</v>
      </c>
      <c r="C45" s="63"/>
      <c r="D45" s="63"/>
      <c r="E45" s="63"/>
      <c r="F45" s="63"/>
      <c r="G45" s="63"/>
      <c r="H45" s="63"/>
      <c r="I45" s="63"/>
      <c r="J45" s="63"/>
      <c r="K45" s="63"/>
      <c r="L45" s="66"/>
      <c r="M45" s="58"/>
      <c r="N45" s="58"/>
      <c r="O45" s="58"/>
      <c r="P45" s="486">
        <f t="shared" si="4"/>
        <v>0</v>
      </c>
      <c r="Q45" s="487" t="b">
        <f t="shared" si="5"/>
        <v>1</v>
      </c>
      <c r="R45" s="460" t="s">
        <v>102</v>
      </c>
      <c r="S45" s="25"/>
      <c r="T45" s="25"/>
      <c r="U45" s="25"/>
      <c r="V45" s="25"/>
      <c r="W45" s="25"/>
    </row>
    <row r="46" spans="2:24" ht="16.5" thickBot="1" x14ac:dyDescent="0.3">
      <c r="B46" s="491">
        <f>B22</f>
        <v>0</v>
      </c>
      <c r="C46" s="63"/>
      <c r="D46" s="63"/>
      <c r="E46" s="63"/>
      <c r="F46" s="63"/>
      <c r="G46" s="63"/>
      <c r="H46" s="63"/>
      <c r="I46" s="63"/>
      <c r="J46" s="63"/>
      <c r="K46" s="63"/>
      <c r="L46" s="66"/>
      <c r="M46" s="58"/>
      <c r="N46" s="58"/>
      <c r="O46" s="58"/>
      <c r="P46" s="486">
        <f t="shared" si="4"/>
        <v>0</v>
      </c>
      <c r="Q46" s="487" t="b">
        <f t="shared" si="5"/>
        <v>1</v>
      </c>
      <c r="R46" s="460" t="s">
        <v>102</v>
      </c>
      <c r="S46" s="25"/>
      <c r="T46" s="25"/>
      <c r="U46" s="25"/>
      <c r="V46" s="25"/>
      <c r="W46" s="25"/>
    </row>
    <row r="47" spans="2:24" ht="16.5" thickBot="1" x14ac:dyDescent="0.3">
      <c r="B47" s="492">
        <f>B23</f>
        <v>0</v>
      </c>
      <c r="C47" s="63"/>
      <c r="D47" s="63"/>
      <c r="E47" s="63"/>
      <c r="F47" s="63"/>
      <c r="G47" s="63"/>
      <c r="H47" s="63"/>
      <c r="I47" s="63"/>
      <c r="J47" s="63"/>
      <c r="K47" s="63"/>
      <c r="L47" s="66"/>
      <c r="M47" s="58"/>
      <c r="N47" s="58"/>
      <c r="O47" s="58"/>
      <c r="P47" s="486">
        <f t="shared" si="4"/>
        <v>0</v>
      </c>
      <c r="Q47" s="487" t="b">
        <f t="shared" si="5"/>
        <v>1</v>
      </c>
      <c r="R47" s="460" t="s">
        <v>102</v>
      </c>
      <c r="S47" s="25"/>
      <c r="T47" s="25"/>
      <c r="U47" s="25"/>
      <c r="V47" s="25"/>
      <c r="W47" s="25"/>
    </row>
    <row r="48" spans="2:24" s="493" customFormat="1" ht="13.5" thickBot="1" x14ac:dyDescent="0.25">
      <c r="B48" s="494" t="s">
        <v>292</v>
      </c>
      <c r="C48" s="495">
        <f>C70</f>
        <v>2880</v>
      </c>
      <c r="D48" s="495">
        <f t="shared" ref="D48:O48" si="6">D70</f>
        <v>0</v>
      </c>
      <c r="E48" s="495">
        <f t="shared" si="6"/>
        <v>0</v>
      </c>
      <c r="F48" s="495">
        <f t="shared" si="6"/>
        <v>0</v>
      </c>
      <c r="G48" s="495">
        <f t="shared" si="6"/>
        <v>0</v>
      </c>
      <c r="H48" s="495">
        <f t="shared" si="6"/>
        <v>0</v>
      </c>
      <c r="I48" s="495">
        <f t="shared" si="6"/>
        <v>0</v>
      </c>
      <c r="J48" s="495">
        <f t="shared" si="6"/>
        <v>0</v>
      </c>
      <c r="K48" s="495">
        <f t="shared" si="6"/>
        <v>0</v>
      </c>
      <c r="L48" s="495">
        <f t="shared" si="6"/>
        <v>0</v>
      </c>
      <c r="M48" s="496">
        <f t="shared" si="6"/>
        <v>0</v>
      </c>
      <c r="N48" s="496">
        <f t="shared" si="6"/>
        <v>0</v>
      </c>
      <c r="O48" s="496">
        <f t="shared" si="6"/>
        <v>0</v>
      </c>
      <c r="P48" s="497">
        <f>SUM(C48:O48)</f>
        <v>2880</v>
      </c>
      <c r="Q48" s="498"/>
      <c r="R48" s="460" t="s">
        <v>102</v>
      </c>
      <c r="S48" s="499"/>
      <c r="T48" s="499"/>
      <c r="U48" s="499"/>
      <c r="V48" s="499"/>
      <c r="W48" s="500"/>
    </row>
    <row r="49" spans="1:23" ht="13.5" thickBot="1" x14ac:dyDescent="0.25">
      <c r="B49" s="24" t="s">
        <v>293</v>
      </c>
      <c r="C49" s="488">
        <f ca="1">C94</f>
        <v>0</v>
      </c>
      <c r="D49" s="488">
        <f t="shared" ref="D49:O49" ca="1" si="7">D94</f>
        <v>0</v>
      </c>
      <c r="E49" s="488">
        <f t="shared" ca="1" si="7"/>
        <v>0</v>
      </c>
      <c r="F49" s="488">
        <f t="shared" ca="1" si="7"/>
        <v>0</v>
      </c>
      <c r="G49" s="488">
        <f t="shared" ca="1" si="7"/>
        <v>0</v>
      </c>
      <c r="H49" s="488">
        <f t="shared" ca="1" si="7"/>
        <v>0</v>
      </c>
      <c r="I49" s="488">
        <f t="shared" ca="1" si="7"/>
        <v>0</v>
      </c>
      <c r="J49" s="488">
        <f t="shared" ca="1" si="7"/>
        <v>0</v>
      </c>
      <c r="K49" s="488">
        <f t="shared" ca="1" si="7"/>
        <v>0</v>
      </c>
      <c r="L49" s="488">
        <f t="shared" ca="1" si="7"/>
        <v>0</v>
      </c>
      <c r="M49" s="488">
        <f t="shared" ca="1" si="7"/>
        <v>0</v>
      </c>
      <c r="N49" s="488">
        <f t="shared" si="7"/>
        <v>0</v>
      </c>
      <c r="O49" s="488">
        <f t="shared" ca="1" si="7"/>
        <v>0</v>
      </c>
      <c r="P49" s="497">
        <f ca="1">SUM(C49:O49)</f>
        <v>0</v>
      </c>
      <c r="Q49" s="25"/>
      <c r="R49" s="460" t="s">
        <v>102</v>
      </c>
      <c r="S49" s="25"/>
      <c r="T49" s="25"/>
      <c r="U49" s="25"/>
      <c r="V49" s="25"/>
      <c r="W49" s="25"/>
    </row>
    <row r="50" spans="1:23" x14ac:dyDescent="0.2">
      <c r="B50" s="501" t="str">
        <f>B29</f>
        <v>Trator</v>
      </c>
      <c r="C50" s="488">
        <f t="shared" ref="C50:O50" si="8">C29*$H5/100</f>
        <v>2880</v>
      </c>
      <c r="D50" s="488">
        <f t="shared" si="8"/>
        <v>0</v>
      </c>
      <c r="E50" s="488">
        <f t="shared" si="8"/>
        <v>0</v>
      </c>
      <c r="F50" s="488">
        <f t="shared" si="8"/>
        <v>0</v>
      </c>
      <c r="G50" s="488">
        <f t="shared" si="8"/>
        <v>0</v>
      </c>
      <c r="H50" s="488">
        <f t="shared" si="8"/>
        <v>0</v>
      </c>
      <c r="I50" s="488">
        <f t="shared" si="8"/>
        <v>0</v>
      </c>
      <c r="J50" s="488">
        <f t="shared" si="8"/>
        <v>0</v>
      </c>
      <c r="K50" s="488">
        <f t="shared" si="8"/>
        <v>0</v>
      </c>
      <c r="L50" s="488">
        <f t="shared" si="8"/>
        <v>0</v>
      </c>
      <c r="M50" s="488">
        <f t="shared" si="8"/>
        <v>0</v>
      </c>
      <c r="N50" s="488"/>
      <c r="O50" s="488">
        <f t="shared" si="8"/>
        <v>0</v>
      </c>
      <c r="P50" s="502"/>
      <c r="Q50" s="502"/>
      <c r="R50" s="460" t="s">
        <v>102</v>
      </c>
      <c r="S50" s="502"/>
      <c r="T50" s="502"/>
      <c r="U50" s="502"/>
      <c r="V50" s="502"/>
      <c r="W50" s="25"/>
    </row>
    <row r="51" spans="1:23" x14ac:dyDescent="0.2">
      <c r="B51" s="501">
        <f t="shared" ref="B51:B68" si="9">B30</f>
        <v>0</v>
      </c>
      <c r="C51" s="488">
        <f t="shared" ref="C51:O51" si="10">C30*$H6/100</f>
        <v>0</v>
      </c>
      <c r="D51" s="488">
        <f t="shared" si="10"/>
        <v>0</v>
      </c>
      <c r="E51" s="488">
        <f t="shared" si="10"/>
        <v>0</v>
      </c>
      <c r="F51" s="488">
        <f t="shared" si="10"/>
        <v>0</v>
      </c>
      <c r="G51" s="488">
        <f t="shared" si="10"/>
        <v>0</v>
      </c>
      <c r="H51" s="488">
        <f t="shared" si="10"/>
        <v>0</v>
      </c>
      <c r="I51" s="488">
        <f t="shared" si="10"/>
        <v>0</v>
      </c>
      <c r="J51" s="488">
        <f t="shared" si="10"/>
        <v>0</v>
      </c>
      <c r="K51" s="488">
        <f t="shared" si="10"/>
        <v>0</v>
      </c>
      <c r="L51" s="488">
        <f t="shared" si="10"/>
        <v>0</v>
      </c>
      <c r="M51" s="488">
        <f t="shared" si="10"/>
        <v>0</v>
      </c>
      <c r="N51" s="488"/>
      <c r="O51" s="488">
        <f t="shared" si="10"/>
        <v>0</v>
      </c>
      <c r="P51" s="502"/>
      <c r="Q51" s="502"/>
      <c r="R51" s="460" t="s">
        <v>102</v>
      </c>
      <c r="S51" s="502"/>
      <c r="T51" s="502"/>
      <c r="U51" s="502"/>
      <c r="V51" s="502"/>
      <c r="W51" s="25"/>
    </row>
    <row r="52" spans="1:23" x14ac:dyDescent="0.2">
      <c r="B52" s="501">
        <f t="shared" si="9"/>
        <v>0</v>
      </c>
      <c r="C52" s="488">
        <f t="shared" ref="C52:O52" si="11">C31*$H7/100</f>
        <v>0</v>
      </c>
      <c r="D52" s="488">
        <f t="shared" si="11"/>
        <v>0</v>
      </c>
      <c r="E52" s="488">
        <f t="shared" si="11"/>
        <v>0</v>
      </c>
      <c r="F52" s="488">
        <f t="shared" si="11"/>
        <v>0</v>
      </c>
      <c r="G52" s="488">
        <f t="shared" si="11"/>
        <v>0</v>
      </c>
      <c r="H52" s="488">
        <f t="shared" si="11"/>
        <v>0</v>
      </c>
      <c r="I52" s="488">
        <f t="shared" si="11"/>
        <v>0</v>
      </c>
      <c r="J52" s="488">
        <f t="shared" si="11"/>
        <v>0</v>
      </c>
      <c r="K52" s="488">
        <f t="shared" si="11"/>
        <v>0</v>
      </c>
      <c r="L52" s="488">
        <f t="shared" si="11"/>
        <v>0</v>
      </c>
      <c r="M52" s="488">
        <f t="shared" si="11"/>
        <v>0</v>
      </c>
      <c r="N52" s="488"/>
      <c r="O52" s="488">
        <f t="shared" si="11"/>
        <v>0</v>
      </c>
      <c r="P52" s="502"/>
      <c r="Q52" s="502"/>
      <c r="R52" s="460" t="s">
        <v>102</v>
      </c>
      <c r="S52" s="502"/>
      <c r="T52" s="502"/>
      <c r="U52" s="502"/>
      <c r="V52" s="502"/>
      <c r="W52" s="25"/>
    </row>
    <row r="53" spans="1:23" x14ac:dyDescent="0.2">
      <c r="B53" s="501">
        <f t="shared" si="9"/>
        <v>0</v>
      </c>
      <c r="C53" s="488">
        <f t="shared" ref="C53:O53" si="12">C32*$H8/100</f>
        <v>0</v>
      </c>
      <c r="D53" s="488">
        <f t="shared" si="12"/>
        <v>0</v>
      </c>
      <c r="E53" s="488">
        <f t="shared" si="12"/>
        <v>0</v>
      </c>
      <c r="F53" s="488">
        <f t="shared" si="12"/>
        <v>0</v>
      </c>
      <c r="G53" s="488">
        <f t="shared" si="12"/>
        <v>0</v>
      </c>
      <c r="H53" s="488">
        <f t="shared" si="12"/>
        <v>0</v>
      </c>
      <c r="I53" s="488">
        <f t="shared" si="12"/>
        <v>0</v>
      </c>
      <c r="J53" s="488">
        <f t="shared" si="12"/>
        <v>0</v>
      </c>
      <c r="K53" s="488">
        <f t="shared" si="12"/>
        <v>0</v>
      </c>
      <c r="L53" s="488">
        <f t="shared" si="12"/>
        <v>0</v>
      </c>
      <c r="M53" s="488">
        <f t="shared" si="12"/>
        <v>0</v>
      </c>
      <c r="N53" s="488"/>
      <c r="O53" s="488">
        <f t="shared" si="12"/>
        <v>0</v>
      </c>
      <c r="P53" s="502"/>
      <c r="Q53" s="502"/>
      <c r="R53" s="460" t="s">
        <v>102</v>
      </c>
      <c r="S53" s="502"/>
      <c r="T53" s="502"/>
      <c r="U53" s="502"/>
      <c r="V53" s="502"/>
      <c r="W53" s="25"/>
    </row>
    <row r="54" spans="1:23" x14ac:dyDescent="0.2">
      <c r="B54" s="501">
        <f t="shared" si="9"/>
        <v>0</v>
      </c>
      <c r="C54" s="488">
        <f t="shared" ref="C54:O54" si="13">C33*$H9/100</f>
        <v>0</v>
      </c>
      <c r="D54" s="488">
        <f t="shared" si="13"/>
        <v>0</v>
      </c>
      <c r="E54" s="488">
        <f t="shared" si="13"/>
        <v>0</v>
      </c>
      <c r="F54" s="488">
        <f t="shared" si="13"/>
        <v>0</v>
      </c>
      <c r="G54" s="488">
        <f t="shared" si="13"/>
        <v>0</v>
      </c>
      <c r="H54" s="488">
        <f t="shared" si="13"/>
        <v>0</v>
      </c>
      <c r="I54" s="488">
        <f t="shared" si="13"/>
        <v>0</v>
      </c>
      <c r="J54" s="488">
        <f t="shared" si="13"/>
        <v>0</v>
      </c>
      <c r="K54" s="488">
        <f t="shared" si="13"/>
        <v>0</v>
      </c>
      <c r="L54" s="488">
        <f t="shared" si="13"/>
        <v>0</v>
      </c>
      <c r="M54" s="488">
        <f t="shared" si="13"/>
        <v>0</v>
      </c>
      <c r="N54" s="488"/>
      <c r="O54" s="488">
        <f t="shared" si="13"/>
        <v>0</v>
      </c>
      <c r="P54" s="502"/>
      <c r="Q54" s="502"/>
      <c r="R54" s="460" t="s">
        <v>102</v>
      </c>
      <c r="S54" s="502"/>
      <c r="T54" s="502"/>
      <c r="U54" s="502"/>
      <c r="V54" s="502"/>
      <c r="W54" s="502"/>
    </row>
    <row r="55" spans="1:23" x14ac:dyDescent="0.2">
      <c r="B55" s="501">
        <f t="shared" si="9"/>
        <v>0</v>
      </c>
      <c r="C55" s="488">
        <f t="shared" ref="C55:O55" si="14">C34*$H10/100</f>
        <v>0</v>
      </c>
      <c r="D55" s="488">
        <f t="shared" si="14"/>
        <v>0</v>
      </c>
      <c r="E55" s="488">
        <f t="shared" si="14"/>
        <v>0</v>
      </c>
      <c r="F55" s="488">
        <f t="shared" si="14"/>
        <v>0</v>
      </c>
      <c r="G55" s="488">
        <f t="shared" si="14"/>
        <v>0</v>
      </c>
      <c r="H55" s="488">
        <f t="shared" si="14"/>
        <v>0</v>
      </c>
      <c r="I55" s="488">
        <f t="shared" si="14"/>
        <v>0</v>
      </c>
      <c r="J55" s="488">
        <f t="shared" si="14"/>
        <v>0</v>
      </c>
      <c r="K55" s="488">
        <f t="shared" si="14"/>
        <v>0</v>
      </c>
      <c r="L55" s="488">
        <f t="shared" si="14"/>
        <v>0</v>
      </c>
      <c r="M55" s="488">
        <f t="shared" si="14"/>
        <v>0</v>
      </c>
      <c r="N55" s="488"/>
      <c r="O55" s="488">
        <f t="shared" si="14"/>
        <v>0</v>
      </c>
      <c r="P55" s="502"/>
      <c r="Q55" s="502"/>
      <c r="R55" s="460" t="s">
        <v>102</v>
      </c>
      <c r="S55" s="502"/>
      <c r="T55" s="502"/>
      <c r="U55" s="502"/>
      <c r="V55" s="502"/>
      <c r="W55" s="502"/>
    </row>
    <row r="56" spans="1:23" x14ac:dyDescent="0.2">
      <c r="B56" s="501">
        <f t="shared" si="9"/>
        <v>0</v>
      </c>
      <c r="C56" s="488">
        <f t="shared" ref="C56:O56" si="15">C35*$H11/100</f>
        <v>0</v>
      </c>
      <c r="D56" s="488">
        <f t="shared" si="15"/>
        <v>0</v>
      </c>
      <c r="E56" s="488">
        <f t="shared" si="15"/>
        <v>0</v>
      </c>
      <c r="F56" s="488">
        <f t="shared" si="15"/>
        <v>0</v>
      </c>
      <c r="G56" s="488">
        <f t="shared" si="15"/>
        <v>0</v>
      </c>
      <c r="H56" s="488">
        <f t="shared" si="15"/>
        <v>0</v>
      </c>
      <c r="I56" s="488">
        <f t="shared" si="15"/>
        <v>0</v>
      </c>
      <c r="J56" s="488">
        <f t="shared" si="15"/>
        <v>0</v>
      </c>
      <c r="K56" s="488">
        <f t="shared" si="15"/>
        <v>0</v>
      </c>
      <c r="L56" s="488">
        <f t="shared" si="15"/>
        <v>0</v>
      </c>
      <c r="M56" s="488">
        <f t="shared" si="15"/>
        <v>0</v>
      </c>
      <c r="N56" s="488"/>
      <c r="O56" s="488">
        <f t="shared" si="15"/>
        <v>0</v>
      </c>
      <c r="P56" s="502"/>
      <c r="Q56" s="502"/>
      <c r="R56" s="460" t="s">
        <v>102</v>
      </c>
      <c r="S56" s="502"/>
      <c r="T56" s="502"/>
      <c r="U56" s="502"/>
      <c r="V56" s="502"/>
      <c r="W56" s="502"/>
    </row>
    <row r="57" spans="1:23" x14ac:dyDescent="0.2">
      <c r="B57" s="501">
        <f t="shared" si="9"/>
        <v>0</v>
      </c>
      <c r="C57" s="488">
        <f t="shared" ref="C57:O57" si="16">C36*$H12/100</f>
        <v>0</v>
      </c>
      <c r="D57" s="488">
        <f t="shared" si="16"/>
        <v>0</v>
      </c>
      <c r="E57" s="488">
        <f t="shared" si="16"/>
        <v>0</v>
      </c>
      <c r="F57" s="488">
        <f t="shared" si="16"/>
        <v>0</v>
      </c>
      <c r="G57" s="488">
        <f t="shared" si="16"/>
        <v>0</v>
      </c>
      <c r="H57" s="488">
        <f t="shared" si="16"/>
        <v>0</v>
      </c>
      <c r="I57" s="488">
        <f t="shared" si="16"/>
        <v>0</v>
      </c>
      <c r="J57" s="488">
        <f t="shared" si="16"/>
        <v>0</v>
      </c>
      <c r="K57" s="488">
        <f t="shared" si="16"/>
        <v>0</v>
      </c>
      <c r="L57" s="488">
        <f t="shared" si="16"/>
        <v>0</v>
      </c>
      <c r="M57" s="488">
        <f t="shared" si="16"/>
        <v>0</v>
      </c>
      <c r="N57" s="488"/>
      <c r="O57" s="488">
        <f t="shared" si="16"/>
        <v>0</v>
      </c>
      <c r="P57" s="502"/>
      <c r="Q57" s="502"/>
      <c r="R57" s="460" t="s">
        <v>102</v>
      </c>
      <c r="S57" s="502"/>
      <c r="T57" s="502"/>
      <c r="U57" s="502"/>
      <c r="V57" s="502"/>
      <c r="W57" s="502"/>
    </row>
    <row r="58" spans="1:23" x14ac:dyDescent="0.2">
      <c r="B58" s="501">
        <f t="shared" si="9"/>
        <v>0</v>
      </c>
      <c r="C58" s="488">
        <f t="shared" ref="C58:O58" si="17">C37*$H13/100</f>
        <v>0</v>
      </c>
      <c r="D58" s="488">
        <f t="shared" si="17"/>
        <v>0</v>
      </c>
      <c r="E58" s="488">
        <f t="shared" si="17"/>
        <v>0</v>
      </c>
      <c r="F58" s="488">
        <f t="shared" si="17"/>
        <v>0</v>
      </c>
      <c r="G58" s="488">
        <f t="shared" si="17"/>
        <v>0</v>
      </c>
      <c r="H58" s="488">
        <f t="shared" si="17"/>
        <v>0</v>
      </c>
      <c r="I58" s="488">
        <f t="shared" si="17"/>
        <v>0</v>
      </c>
      <c r="J58" s="488">
        <f t="shared" si="17"/>
        <v>0</v>
      </c>
      <c r="K58" s="488">
        <f t="shared" si="17"/>
        <v>0</v>
      </c>
      <c r="L58" s="488">
        <f t="shared" si="17"/>
        <v>0</v>
      </c>
      <c r="M58" s="488">
        <f t="shared" si="17"/>
        <v>0</v>
      </c>
      <c r="N58" s="488"/>
      <c r="O58" s="488">
        <f t="shared" si="17"/>
        <v>0</v>
      </c>
      <c r="P58" s="502"/>
      <c r="Q58" s="502"/>
      <c r="R58" s="460" t="s">
        <v>102</v>
      </c>
      <c r="S58" s="502"/>
      <c r="T58" s="502"/>
      <c r="U58" s="502"/>
      <c r="V58" s="502"/>
      <c r="W58" s="502"/>
    </row>
    <row r="59" spans="1:23" x14ac:dyDescent="0.2">
      <c r="B59" s="501">
        <f t="shared" si="9"/>
        <v>0</v>
      </c>
      <c r="C59" s="488">
        <f t="shared" ref="C59:O59" si="18">C38*$H14/100</f>
        <v>0</v>
      </c>
      <c r="D59" s="488">
        <f t="shared" si="18"/>
        <v>0</v>
      </c>
      <c r="E59" s="488">
        <f t="shared" si="18"/>
        <v>0</v>
      </c>
      <c r="F59" s="488">
        <f t="shared" si="18"/>
        <v>0</v>
      </c>
      <c r="G59" s="488">
        <f t="shared" si="18"/>
        <v>0</v>
      </c>
      <c r="H59" s="488">
        <f t="shared" si="18"/>
        <v>0</v>
      </c>
      <c r="I59" s="488">
        <f t="shared" si="18"/>
        <v>0</v>
      </c>
      <c r="J59" s="488">
        <f t="shared" si="18"/>
        <v>0</v>
      </c>
      <c r="K59" s="488">
        <f t="shared" si="18"/>
        <v>0</v>
      </c>
      <c r="L59" s="488">
        <f t="shared" si="18"/>
        <v>0</v>
      </c>
      <c r="M59" s="488">
        <f t="shared" si="18"/>
        <v>0</v>
      </c>
      <c r="N59" s="488"/>
      <c r="O59" s="488">
        <f t="shared" si="18"/>
        <v>0</v>
      </c>
      <c r="P59" s="502"/>
      <c r="Q59" s="502"/>
      <c r="R59" s="460" t="s">
        <v>102</v>
      </c>
      <c r="S59" s="502"/>
      <c r="T59" s="502"/>
      <c r="U59" s="502"/>
      <c r="V59" s="502"/>
      <c r="W59" s="502"/>
    </row>
    <row r="60" spans="1:23" x14ac:dyDescent="0.2">
      <c r="B60" s="501">
        <f t="shared" si="9"/>
        <v>0</v>
      </c>
      <c r="C60" s="488">
        <f t="shared" ref="C60:O60" si="19">C39*$H15/100</f>
        <v>0</v>
      </c>
      <c r="D60" s="488">
        <f t="shared" si="19"/>
        <v>0</v>
      </c>
      <c r="E60" s="488">
        <f t="shared" si="19"/>
        <v>0</v>
      </c>
      <c r="F60" s="488">
        <f t="shared" si="19"/>
        <v>0</v>
      </c>
      <c r="G60" s="488">
        <f t="shared" si="19"/>
        <v>0</v>
      </c>
      <c r="H60" s="488">
        <f t="shared" si="19"/>
        <v>0</v>
      </c>
      <c r="I60" s="488">
        <f t="shared" si="19"/>
        <v>0</v>
      </c>
      <c r="J60" s="488">
        <f t="shared" si="19"/>
        <v>0</v>
      </c>
      <c r="K60" s="488">
        <f t="shared" si="19"/>
        <v>0</v>
      </c>
      <c r="L60" s="488">
        <f t="shared" si="19"/>
        <v>0</v>
      </c>
      <c r="M60" s="488">
        <f t="shared" si="19"/>
        <v>0</v>
      </c>
      <c r="N60" s="488"/>
      <c r="O60" s="488">
        <f t="shared" si="19"/>
        <v>0</v>
      </c>
      <c r="P60" s="502"/>
      <c r="Q60" s="502"/>
      <c r="R60" s="460" t="s">
        <v>102</v>
      </c>
      <c r="S60" s="502"/>
      <c r="T60" s="502"/>
      <c r="U60" s="502"/>
      <c r="V60" s="502"/>
      <c r="W60" s="502"/>
    </row>
    <row r="61" spans="1:23" x14ac:dyDescent="0.2">
      <c r="B61" s="501">
        <f t="shared" si="9"/>
        <v>0</v>
      </c>
      <c r="C61" s="488">
        <f t="shared" ref="C61:O61" si="20">C40*$H16/100</f>
        <v>0</v>
      </c>
      <c r="D61" s="488">
        <f t="shared" si="20"/>
        <v>0</v>
      </c>
      <c r="E61" s="488">
        <f t="shared" si="20"/>
        <v>0</v>
      </c>
      <c r="F61" s="488">
        <f t="shared" si="20"/>
        <v>0</v>
      </c>
      <c r="G61" s="488">
        <f t="shared" si="20"/>
        <v>0</v>
      </c>
      <c r="H61" s="488">
        <f t="shared" si="20"/>
        <v>0</v>
      </c>
      <c r="I61" s="488">
        <f t="shared" si="20"/>
        <v>0</v>
      </c>
      <c r="J61" s="488">
        <f t="shared" si="20"/>
        <v>0</v>
      </c>
      <c r="K61" s="488">
        <f t="shared" si="20"/>
        <v>0</v>
      </c>
      <c r="L61" s="488">
        <f t="shared" si="20"/>
        <v>0</v>
      </c>
      <c r="M61" s="488">
        <f t="shared" si="20"/>
        <v>0</v>
      </c>
      <c r="N61" s="488"/>
      <c r="O61" s="488">
        <f t="shared" si="20"/>
        <v>0</v>
      </c>
      <c r="P61" s="502"/>
      <c r="Q61" s="502"/>
      <c r="R61" s="460" t="s">
        <v>102</v>
      </c>
      <c r="S61" s="502"/>
      <c r="T61" s="502"/>
      <c r="U61" s="502"/>
      <c r="V61" s="502"/>
      <c r="W61" s="502"/>
    </row>
    <row r="62" spans="1:23" x14ac:dyDescent="0.2">
      <c r="B62" s="501">
        <f t="shared" si="9"/>
        <v>0</v>
      </c>
      <c r="C62" s="488">
        <f t="shared" ref="C62:O62" si="21">C41*$H17/100</f>
        <v>0</v>
      </c>
      <c r="D62" s="488">
        <f t="shared" si="21"/>
        <v>0</v>
      </c>
      <c r="E62" s="488">
        <f t="shared" si="21"/>
        <v>0</v>
      </c>
      <c r="F62" s="488">
        <f t="shared" si="21"/>
        <v>0</v>
      </c>
      <c r="G62" s="488">
        <f t="shared" si="21"/>
        <v>0</v>
      </c>
      <c r="H62" s="488">
        <f t="shared" si="21"/>
        <v>0</v>
      </c>
      <c r="I62" s="488">
        <f t="shared" si="21"/>
        <v>0</v>
      </c>
      <c r="J62" s="488">
        <f t="shared" si="21"/>
        <v>0</v>
      </c>
      <c r="K62" s="488">
        <f t="shared" si="21"/>
        <v>0</v>
      </c>
      <c r="L62" s="488">
        <f t="shared" si="21"/>
        <v>0</v>
      </c>
      <c r="M62" s="488">
        <f t="shared" si="21"/>
        <v>0</v>
      </c>
      <c r="N62" s="488"/>
      <c r="O62" s="488">
        <f t="shared" si="21"/>
        <v>0</v>
      </c>
      <c r="P62" s="502"/>
      <c r="Q62" s="502"/>
      <c r="R62" s="460" t="s">
        <v>102</v>
      </c>
      <c r="S62" s="502"/>
      <c r="T62" s="502"/>
      <c r="U62" s="502"/>
      <c r="V62" s="502"/>
      <c r="W62" s="502"/>
    </row>
    <row r="63" spans="1:23" x14ac:dyDescent="0.2">
      <c r="A63" s="24"/>
      <c r="B63" s="501">
        <f t="shared" si="9"/>
        <v>0</v>
      </c>
      <c r="C63" s="488">
        <f t="shared" ref="C63:O63" si="22">C42*$H18/100</f>
        <v>0</v>
      </c>
      <c r="D63" s="488">
        <f t="shared" si="22"/>
        <v>0</v>
      </c>
      <c r="E63" s="488">
        <f t="shared" si="22"/>
        <v>0</v>
      </c>
      <c r="F63" s="488">
        <f t="shared" si="22"/>
        <v>0</v>
      </c>
      <c r="G63" s="488">
        <f t="shared" si="22"/>
        <v>0</v>
      </c>
      <c r="H63" s="488">
        <f t="shared" si="22"/>
        <v>0</v>
      </c>
      <c r="I63" s="488">
        <f t="shared" si="22"/>
        <v>0</v>
      </c>
      <c r="J63" s="488">
        <f t="shared" si="22"/>
        <v>0</v>
      </c>
      <c r="K63" s="488">
        <f t="shared" si="22"/>
        <v>0</v>
      </c>
      <c r="L63" s="488">
        <f t="shared" si="22"/>
        <v>0</v>
      </c>
      <c r="M63" s="488">
        <f t="shared" si="22"/>
        <v>0</v>
      </c>
      <c r="N63" s="488"/>
      <c r="O63" s="488">
        <f t="shared" si="22"/>
        <v>0</v>
      </c>
      <c r="P63" s="502"/>
      <c r="Q63" s="502"/>
      <c r="R63" s="460" t="s">
        <v>102</v>
      </c>
      <c r="S63" s="502"/>
      <c r="T63" s="502"/>
      <c r="U63" s="502"/>
      <c r="V63" s="502"/>
      <c r="W63" s="502"/>
    </row>
    <row r="64" spans="1:23" x14ac:dyDescent="0.2">
      <c r="A64" s="24"/>
      <c r="B64" s="501">
        <f t="shared" si="9"/>
        <v>0</v>
      </c>
      <c r="C64" s="488">
        <f t="shared" ref="C64:O64" si="23">C43*$H19/100</f>
        <v>0</v>
      </c>
      <c r="D64" s="488">
        <f t="shared" si="23"/>
        <v>0</v>
      </c>
      <c r="E64" s="488">
        <f t="shared" si="23"/>
        <v>0</v>
      </c>
      <c r="F64" s="488">
        <f t="shared" si="23"/>
        <v>0</v>
      </c>
      <c r="G64" s="488">
        <f t="shared" si="23"/>
        <v>0</v>
      </c>
      <c r="H64" s="488">
        <f t="shared" si="23"/>
        <v>0</v>
      </c>
      <c r="I64" s="488">
        <f t="shared" si="23"/>
        <v>0</v>
      </c>
      <c r="J64" s="488">
        <f t="shared" si="23"/>
        <v>0</v>
      </c>
      <c r="K64" s="488">
        <f t="shared" si="23"/>
        <v>0</v>
      </c>
      <c r="L64" s="488">
        <f t="shared" si="23"/>
        <v>0</v>
      </c>
      <c r="M64" s="488">
        <f t="shared" si="23"/>
        <v>0</v>
      </c>
      <c r="N64" s="488"/>
      <c r="O64" s="488">
        <f t="shared" si="23"/>
        <v>0</v>
      </c>
      <c r="P64" s="502"/>
      <c r="Q64" s="502"/>
      <c r="R64" s="460" t="s">
        <v>102</v>
      </c>
      <c r="S64" s="502"/>
      <c r="T64" s="502"/>
      <c r="U64" s="502"/>
      <c r="V64" s="502"/>
      <c r="W64" s="502"/>
    </row>
    <row r="65" spans="1:23" x14ac:dyDescent="0.2">
      <c r="A65" s="24"/>
      <c r="B65" s="501">
        <f t="shared" si="9"/>
        <v>0</v>
      </c>
      <c r="C65" s="488">
        <f t="shared" ref="C65:O65" si="24">C44*$H20/100</f>
        <v>0</v>
      </c>
      <c r="D65" s="488">
        <f t="shared" si="24"/>
        <v>0</v>
      </c>
      <c r="E65" s="488">
        <f t="shared" si="24"/>
        <v>0</v>
      </c>
      <c r="F65" s="488">
        <f t="shared" si="24"/>
        <v>0</v>
      </c>
      <c r="G65" s="488">
        <f t="shared" si="24"/>
        <v>0</v>
      </c>
      <c r="H65" s="488">
        <f t="shared" si="24"/>
        <v>0</v>
      </c>
      <c r="I65" s="488">
        <f t="shared" si="24"/>
        <v>0</v>
      </c>
      <c r="J65" s="488">
        <f t="shared" si="24"/>
        <v>0</v>
      </c>
      <c r="K65" s="488">
        <f t="shared" si="24"/>
        <v>0</v>
      </c>
      <c r="L65" s="488">
        <f t="shared" si="24"/>
        <v>0</v>
      </c>
      <c r="M65" s="488">
        <f t="shared" si="24"/>
        <v>0</v>
      </c>
      <c r="N65" s="488"/>
      <c r="O65" s="488">
        <f t="shared" si="24"/>
        <v>0</v>
      </c>
      <c r="P65" s="502"/>
      <c r="Q65" s="502"/>
      <c r="R65" s="460" t="s">
        <v>102</v>
      </c>
      <c r="S65" s="502"/>
      <c r="T65" s="502"/>
      <c r="U65" s="502"/>
      <c r="V65" s="502"/>
      <c r="W65" s="502"/>
    </row>
    <row r="66" spans="1:23" x14ac:dyDescent="0.2">
      <c r="A66" s="24"/>
      <c r="B66" s="501">
        <f t="shared" si="9"/>
        <v>0</v>
      </c>
      <c r="C66" s="488">
        <f t="shared" ref="C66:O66" si="25">C45*$H21/100</f>
        <v>0</v>
      </c>
      <c r="D66" s="488">
        <f t="shared" si="25"/>
        <v>0</v>
      </c>
      <c r="E66" s="488">
        <f t="shared" si="25"/>
        <v>0</v>
      </c>
      <c r="F66" s="488">
        <f t="shared" si="25"/>
        <v>0</v>
      </c>
      <c r="G66" s="488">
        <f t="shared" si="25"/>
        <v>0</v>
      </c>
      <c r="H66" s="488">
        <f t="shared" si="25"/>
        <v>0</v>
      </c>
      <c r="I66" s="488">
        <f t="shared" si="25"/>
        <v>0</v>
      </c>
      <c r="J66" s="488">
        <f t="shared" si="25"/>
        <v>0</v>
      </c>
      <c r="K66" s="488">
        <f t="shared" si="25"/>
        <v>0</v>
      </c>
      <c r="L66" s="488">
        <f t="shared" si="25"/>
        <v>0</v>
      </c>
      <c r="M66" s="488">
        <f t="shared" si="25"/>
        <v>0</v>
      </c>
      <c r="N66" s="488"/>
      <c r="O66" s="488">
        <f t="shared" si="25"/>
        <v>0</v>
      </c>
      <c r="P66" s="502"/>
      <c r="Q66" s="502"/>
      <c r="R66" s="460" t="s">
        <v>102</v>
      </c>
      <c r="S66" s="502"/>
      <c r="T66" s="502"/>
      <c r="U66" s="502"/>
      <c r="V66" s="502"/>
      <c r="W66" s="502"/>
    </row>
    <row r="67" spans="1:23" x14ac:dyDescent="0.2">
      <c r="A67" s="24"/>
      <c r="B67" s="501">
        <f t="shared" si="9"/>
        <v>0</v>
      </c>
      <c r="C67" s="488">
        <f t="shared" ref="C67:O67" si="26">C46*$H22/100</f>
        <v>0</v>
      </c>
      <c r="D67" s="488">
        <f t="shared" si="26"/>
        <v>0</v>
      </c>
      <c r="E67" s="488">
        <f t="shared" si="26"/>
        <v>0</v>
      </c>
      <c r="F67" s="488">
        <f t="shared" si="26"/>
        <v>0</v>
      </c>
      <c r="G67" s="488">
        <f t="shared" si="26"/>
        <v>0</v>
      </c>
      <c r="H67" s="488">
        <f t="shared" si="26"/>
        <v>0</v>
      </c>
      <c r="I67" s="488">
        <f t="shared" si="26"/>
        <v>0</v>
      </c>
      <c r="J67" s="488">
        <f t="shared" si="26"/>
        <v>0</v>
      </c>
      <c r="K67" s="488">
        <f t="shared" si="26"/>
        <v>0</v>
      </c>
      <c r="L67" s="488">
        <f t="shared" si="26"/>
        <v>0</v>
      </c>
      <c r="M67" s="488">
        <f t="shared" si="26"/>
        <v>0</v>
      </c>
      <c r="N67" s="488"/>
      <c r="O67" s="488">
        <f t="shared" si="26"/>
        <v>0</v>
      </c>
      <c r="P67" s="502"/>
      <c r="Q67" s="502"/>
      <c r="R67" s="460" t="s">
        <v>102</v>
      </c>
      <c r="S67" s="502"/>
      <c r="T67" s="502"/>
      <c r="U67" s="502"/>
      <c r="V67" s="502"/>
      <c r="W67" s="502"/>
    </row>
    <row r="68" spans="1:23" x14ac:dyDescent="0.2">
      <c r="A68" s="24"/>
      <c r="B68" s="501">
        <f t="shared" si="9"/>
        <v>0</v>
      </c>
      <c r="C68" s="488">
        <f t="shared" ref="C68:O68" si="27">C47*$H23/100</f>
        <v>0</v>
      </c>
      <c r="D68" s="488">
        <f t="shared" si="27"/>
        <v>0</v>
      </c>
      <c r="E68" s="488">
        <f t="shared" si="27"/>
        <v>0</v>
      </c>
      <c r="F68" s="488">
        <f t="shared" si="27"/>
        <v>0</v>
      </c>
      <c r="G68" s="488">
        <f t="shared" si="27"/>
        <v>0</v>
      </c>
      <c r="H68" s="488">
        <f t="shared" si="27"/>
        <v>0</v>
      </c>
      <c r="I68" s="488">
        <f t="shared" si="27"/>
        <v>0</v>
      </c>
      <c r="J68" s="488">
        <f t="shared" si="27"/>
        <v>0</v>
      </c>
      <c r="K68" s="488">
        <f t="shared" si="27"/>
        <v>0</v>
      </c>
      <c r="L68" s="488">
        <f t="shared" si="27"/>
        <v>0</v>
      </c>
      <c r="M68" s="488">
        <f t="shared" si="27"/>
        <v>0</v>
      </c>
      <c r="N68" s="488"/>
      <c r="O68" s="488">
        <f t="shared" si="27"/>
        <v>0</v>
      </c>
      <c r="P68" s="502"/>
      <c r="Q68" s="502"/>
      <c r="R68" s="460" t="s">
        <v>102</v>
      </c>
      <c r="S68" s="502"/>
      <c r="T68" s="502"/>
      <c r="U68" s="502"/>
      <c r="V68" s="502"/>
      <c r="W68" s="502"/>
    </row>
    <row r="69" spans="1:23" x14ac:dyDescent="0.2">
      <c r="A69" s="24"/>
      <c r="B69" s="501"/>
      <c r="C69" s="488"/>
      <c r="D69" s="488"/>
      <c r="E69" s="488"/>
      <c r="F69" s="488"/>
      <c r="G69" s="503"/>
      <c r="H69" s="503"/>
      <c r="I69" s="503"/>
      <c r="J69" s="503"/>
      <c r="K69" s="503"/>
      <c r="L69" s="504"/>
      <c r="M69" s="504"/>
      <c r="N69" s="504"/>
      <c r="O69" s="504"/>
      <c r="P69" s="504"/>
      <c r="Q69" s="504"/>
      <c r="R69" s="460" t="s">
        <v>102</v>
      </c>
      <c r="S69" s="504"/>
      <c r="T69" s="504"/>
      <c r="U69" s="504"/>
      <c r="V69" s="504"/>
      <c r="W69" s="502"/>
    </row>
    <row r="70" spans="1:23" x14ac:dyDescent="0.2">
      <c r="A70" s="24"/>
      <c r="B70" s="505"/>
      <c r="C70" s="506">
        <f>SUMIF(C50:C68,"&gt;0",C50:C68)</f>
        <v>2880</v>
      </c>
      <c r="D70" s="506">
        <f t="shared" ref="D70:O70" si="28">SUMIF(D50:D68,"&gt;0",D50:D68)</f>
        <v>0</v>
      </c>
      <c r="E70" s="506">
        <f t="shared" si="28"/>
        <v>0</v>
      </c>
      <c r="F70" s="506">
        <f t="shared" si="28"/>
        <v>0</v>
      </c>
      <c r="G70" s="506">
        <f t="shared" si="28"/>
        <v>0</v>
      </c>
      <c r="H70" s="506">
        <f t="shared" si="28"/>
        <v>0</v>
      </c>
      <c r="I70" s="506">
        <f t="shared" si="28"/>
        <v>0</v>
      </c>
      <c r="J70" s="506">
        <f t="shared" si="28"/>
        <v>0</v>
      </c>
      <c r="K70" s="506">
        <f t="shared" si="28"/>
        <v>0</v>
      </c>
      <c r="L70" s="506">
        <f t="shared" si="28"/>
        <v>0</v>
      </c>
      <c r="M70" s="506">
        <f t="shared" si="28"/>
        <v>0</v>
      </c>
      <c r="N70" s="506"/>
      <c r="O70" s="506">
        <f t="shared" si="28"/>
        <v>0</v>
      </c>
      <c r="P70" s="507">
        <f>SUM(C70:O70)</f>
        <v>2880</v>
      </c>
      <c r="Q70" s="507"/>
      <c r="R70" s="460" t="s">
        <v>102</v>
      </c>
      <c r="S70" s="507"/>
      <c r="T70" s="507"/>
      <c r="U70" s="507"/>
      <c r="V70" s="507"/>
      <c r="W70" s="502"/>
    </row>
    <row r="71" spans="1:23" x14ac:dyDescent="0.2">
      <c r="A71" s="24"/>
      <c r="B71" s="501"/>
      <c r="C71" s="488"/>
      <c r="L71" s="25"/>
      <c r="M71" s="25"/>
      <c r="N71" s="25"/>
      <c r="O71" s="25"/>
      <c r="P71" s="25"/>
      <c r="Q71" s="25"/>
      <c r="R71" s="460" t="s">
        <v>102</v>
      </c>
      <c r="S71" s="25"/>
      <c r="T71" s="25"/>
      <c r="U71" s="25"/>
      <c r="V71" s="25"/>
      <c r="W71" s="25"/>
    </row>
    <row r="72" spans="1:23" x14ac:dyDescent="0.2">
      <c r="A72" s="24"/>
      <c r="B72" s="501"/>
      <c r="C72" s="501"/>
      <c r="D72" s="501"/>
      <c r="E72" s="501"/>
      <c r="F72" s="501"/>
      <c r="G72" s="501"/>
      <c r="H72" s="501"/>
      <c r="I72" s="501"/>
      <c r="J72" s="501"/>
      <c r="K72" s="501"/>
      <c r="L72" s="508"/>
      <c r="M72" s="508"/>
      <c r="N72" s="508"/>
      <c r="O72" s="508"/>
      <c r="P72" s="508"/>
      <c r="Q72" s="508"/>
      <c r="R72" s="460" t="s">
        <v>102</v>
      </c>
      <c r="S72" s="508"/>
      <c r="T72" s="508"/>
      <c r="U72" s="508"/>
      <c r="V72" s="508"/>
      <c r="W72" s="25"/>
    </row>
    <row r="73" spans="1:23" x14ac:dyDescent="0.2">
      <c r="A73" s="24"/>
      <c r="B73" s="501"/>
      <c r="C73" s="501"/>
      <c r="D73" s="501"/>
      <c r="E73" s="501"/>
      <c r="F73" s="501"/>
      <c r="G73" s="501"/>
      <c r="H73" s="501"/>
      <c r="I73" s="501"/>
      <c r="J73" s="501"/>
      <c r="K73" s="501"/>
      <c r="L73" s="508"/>
      <c r="M73" s="508"/>
      <c r="N73" s="508"/>
      <c r="O73" s="508"/>
      <c r="P73" s="508"/>
      <c r="Q73" s="508"/>
      <c r="R73" s="460" t="s">
        <v>102</v>
      </c>
      <c r="S73" s="508"/>
      <c r="T73" s="508"/>
      <c r="U73" s="508"/>
      <c r="V73" s="508"/>
      <c r="W73" s="25"/>
    </row>
    <row r="74" spans="1:23" x14ac:dyDescent="0.2">
      <c r="A74" s="24"/>
      <c r="B74" s="509" t="s">
        <v>293</v>
      </c>
      <c r="C74" s="509"/>
      <c r="D74" s="509"/>
      <c r="E74" s="509"/>
      <c r="F74" s="509"/>
      <c r="G74" s="509"/>
      <c r="H74" s="509"/>
      <c r="I74" s="509"/>
      <c r="J74" s="509"/>
      <c r="K74" s="509"/>
      <c r="L74" s="510"/>
      <c r="M74" s="510"/>
      <c r="N74" s="510"/>
      <c r="O74" s="510"/>
      <c r="P74" s="510"/>
      <c r="Q74" s="508"/>
      <c r="R74" s="460"/>
      <c r="S74" s="508"/>
      <c r="T74" s="508"/>
      <c r="U74" s="508"/>
      <c r="V74" s="508"/>
      <c r="W74" s="25"/>
    </row>
    <row r="75" spans="1:23" x14ac:dyDescent="0.2">
      <c r="A75" s="24"/>
      <c r="B75" s="511" t="str">
        <f>B50</f>
        <v>Trator</v>
      </c>
      <c r="C75" s="511">
        <f>$L5*C29/100</f>
        <v>0</v>
      </c>
      <c r="D75" s="511">
        <f>$L5*D29/100</f>
        <v>0</v>
      </c>
      <c r="E75" s="511">
        <f t="shared" ref="E75:O75" si="29">$L5*E29/100</f>
        <v>0</v>
      </c>
      <c r="F75" s="511">
        <f t="shared" si="29"/>
        <v>0</v>
      </c>
      <c r="G75" s="511">
        <f t="shared" si="29"/>
        <v>0</v>
      </c>
      <c r="H75" s="511">
        <f t="shared" si="29"/>
        <v>0</v>
      </c>
      <c r="I75" s="511">
        <f t="shared" si="29"/>
        <v>0</v>
      </c>
      <c r="J75" s="511">
        <f t="shared" si="29"/>
        <v>0</v>
      </c>
      <c r="K75" s="511">
        <f t="shared" si="29"/>
        <v>0</v>
      </c>
      <c r="L75" s="511">
        <f t="shared" si="29"/>
        <v>0</v>
      </c>
      <c r="M75" s="511">
        <f t="shared" si="29"/>
        <v>0</v>
      </c>
      <c r="N75" s="511"/>
      <c r="O75" s="511">
        <f t="shared" si="29"/>
        <v>0</v>
      </c>
      <c r="P75" s="508"/>
      <c r="Q75" s="508"/>
      <c r="R75" s="460"/>
      <c r="S75" s="508"/>
      <c r="T75" s="508"/>
      <c r="U75" s="508"/>
      <c r="V75" s="508"/>
      <c r="W75" s="25"/>
    </row>
    <row r="76" spans="1:23" x14ac:dyDescent="0.2">
      <c r="A76" s="24"/>
      <c r="B76" s="511">
        <f t="shared" ref="B76:B93" si="30">B51</f>
        <v>0</v>
      </c>
      <c r="C76" s="511">
        <f t="shared" ref="C76:C93" si="31">L6*C30/100</f>
        <v>0</v>
      </c>
      <c r="D76" s="511">
        <f t="shared" ref="D76:O93" si="32">$L6*D30/100</f>
        <v>0</v>
      </c>
      <c r="E76" s="511">
        <f t="shared" si="32"/>
        <v>0</v>
      </c>
      <c r="F76" s="511">
        <f t="shared" si="32"/>
        <v>0</v>
      </c>
      <c r="G76" s="511">
        <f t="shared" si="32"/>
        <v>0</v>
      </c>
      <c r="H76" s="511">
        <f t="shared" si="32"/>
        <v>0</v>
      </c>
      <c r="I76" s="511">
        <f t="shared" si="32"/>
        <v>0</v>
      </c>
      <c r="J76" s="511">
        <f t="shared" si="32"/>
        <v>0</v>
      </c>
      <c r="K76" s="511">
        <f t="shared" si="32"/>
        <v>0</v>
      </c>
      <c r="L76" s="511">
        <f t="shared" si="32"/>
        <v>0</v>
      </c>
      <c r="M76" s="511">
        <f t="shared" si="32"/>
        <v>0</v>
      </c>
      <c r="N76" s="511"/>
      <c r="O76" s="511">
        <f t="shared" si="32"/>
        <v>0</v>
      </c>
      <c r="P76" s="508"/>
      <c r="Q76" s="508"/>
      <c r="R76" s="460"/>
      <c r="S76" s="508"/>
      <c r="T76" s="508"/>
      <c r="U76" s="508"/>
      <c r="V76" s="508"/>
      <c r="W76" s="25"/>
    </row>
    <row r="77" spans="1:23" x14ac:dyDescent="0.2">
      <c r="A77" s="24"/>
      <c r="B77" s="511">
        <f t="shared" si="30"/>
        <v>0</v>
      </c>
      <c r="C77" s="511">
        <f t="shared" si="31"/>
        <v>0</v>
      </c>
      <c r="D77" s="511">
        <f t="shared" si="32"/>
        <v>0</v>
      </c>
      <c r="E77" s="511">
        <f t="shared" si="32"/>
        <v>0</v>
      </c>
      <c r="F77" s="511">
        <f t="shared" si="32"/>
        <v>0</v>
      </c>
      <c r="G77" s="511">
        <f t="shared" si="32"/>
        <v>0</v>
      </c>
      <c r="H77" s="511">
        <f t="shared" si="32"/>
        <v>0</v>
      </c>
      <c r="I77" s="511">
        <f t="shared" si="32"/>
        <v>0</v>
      </c>
      <c r="J77" s="511">
        <f t="shared" si="32"/>
        <v>0</v>
      </c>
      <c r="K77" s="511">
        <f t="shared" si="32"/>
        <v>0</v>
      </c>
      <c r="L77" s="511">
        <f t="shared" si="32"/>
        <v>0</v>
      </c>
      <c r="M77" s="511">
        <f t="shared" si="32"/>
        <v>0</v>
      </c>
      <c r="N77" s="511"/>
      <c r="O77" s="511">
        <f t="shared" si="32"/>
        <v>0</v>
      </c>
      <c r="P77" s="508"/>
      <c r="Q77" s="508"/>
      <c r="R77" s="460"/>
      <c r="S77" s="508"/>
      <c r="T77" s="508"/>
      <c r="U77" s="508"/>
      <c r="V77" s="508"/>
      <c r="W77" s="25"/>
    </row>
    <row r="78" spans="1:23" x14ac:dyDescent="0.2">
      <c r="A78" s="24"/>
      <c r="B78" s="511">
        <f t="shared" si="30"/>
        <v>0</v>
      </c>
      <c r="C78" s="511">
        <f t="shared" si="31"/>
        <v>0</v>
      </c>
      <c r="D78" s="511">
        <f t="shared" si="32"/>
        <v>0</v>
      </c>
      <c r="E78" s="511">
        <f t="shared" si="32"/>
        <v>0</v>
      </c>
      <c r="F78" s="511">
        <f t="shared" si="32"/>
        <v>0</v>
      </c>
      <c r="G78" s="511">
        <f t="shared" si="32"/>
        <v>0</v>
      </c>
      <c r="H78" s="511">
        <f t="shared" si="32"/>
        <v>0</v>
      </c>
      <c r="I78" s="511">
        <f t="shared" si="32"/>
        <v>0</v>
      </c>
      <c r="J78" s="511">
        <f t="shared" si="32"/>
        <v>0</v>
      </c>
      <c r="K78" s="511">
        <f t="shared" si="32"/>
        <v>0</v>
      </c>
      <c r="L78" s="511">
        <f t="shared" si="32"/>
        <v>0</v>
      </c>
      <c r="M78" s="511">
        <f t="shared" si="32"/>
        <v>0</v>
      </c>
      <c r="N78" s="511"/>
      <c r="O78" s="511">
        <f t="shared" si="32"/>
        <v>0</v>
      </c>
      <c r="P78" s="508"/>
      <c r="Q78" s="508"/>
      <c r="R78" s="460"/>
      <c r="S78" s="508"/>
      <c r="T78" s="508"/>
      <c r="U78" s="508"/>
      <c r="V78" s="508"/>
      <c r="W78" s="25"/>
    </row>
    <row r="79" spans="1:23" x14ac:dyDescent="0.2">
      <c r="A79" s="24"/>
      <c r="B79" s="511">
        <f t="shared" si="30"/>
        <v>0</v>
      </c>
      <c r="C79" s="511">
        <f t="shared" si="31"/>
        <v>0</v>
      </c>
      <c r="D79" s="511">
        <f t="shared" si="32"/>
        <v>0</v>
      </c>
      <c r="E79" s="511">
        <f t="shared" si="32"/>
        <v>0</v>
      </c>
      <c r="F79" s="511">
        <f t="shared" si="32"/>
        <v>0</v>
      </c>
      <c r="G79" s="511">
        <f t="shared" si="32"/>
        <v>0</v>
      </c>
      <c r="H79" s="511">
        <f t="shared" si="32"/>
        <v>0</v>
      </c>
      <c r="I79" s="511">
        <f t="shared" si="32"/>
        <v>0</v>
      </c>
      <c r="J79" s="511">
        <f t="shared" si="32"/>
        <v>0</v>
      </c>
      <c r="K79" s="511">
        <f t="shared" si="32"/>
        <v>0</v>
      </c>
      <c r="L79" s="511">
        <f t="shared" si="32"/>
        <v>0</v>
      </c>
      <c r="M79" s="511">
        <f t="shared" si="32"/>
        <v>0</v>
      </c>
      <c r="N79" s="511"/>
      <c r="O79" s="511">
        <f t="shared" si="32"/>
        <v>0</v>
      </c>
      <c r="P79" s="508"/>
      <c r="Q79" s="508"/>
      <c r="R79" s="460"/>
      <c r="S79" s="508"/>
      <c r="T79" s="508"/>
      <c r="U79" s="508"/>
      <c r="V79" s="508"/>
      <c r="W79" s="25"/>
    </row>
    <row r="80" spans="1:23" x14ac:dyDescent="0.2">
      <c r="A80" s="24"/>
      <c r="B80" s="511">
        <f t="shared" si="30"/>
        <v>0</v>
      </c>
      <c r="C80" s="511">
        <f t="shared" si="31"/>
        <v>0</v>
      </c>
      <c r="D80" s="511">
        <f t="shared" si="32"/>
        <v>0</v>
      </c>
      <c r="E80" s="511">
        <f t="shared" si="32"/>
        <v>0</v>
      </c>
      <c r="F80" s="511">
        <f t="shared" si="32"/>
        <v>0</v>
      </c>
      <c r="G80" s="511">
        <f t="shared" si="32"/>
        <v>0</v>
      </c>
      <c r="H80" s="511">
        <f t="shared" si="32"/>
        <v>0</v>
      </c>
      <c r="I80" s="511">
        <f t="shared" si="32"/>
        <v>0</v>
      </c>
      <c r="J80" s="511">
        <f t="shared" si="32"/>
        <v>0</v>
      </c>
      <c r="K80" s="511">
        <f t="shared" si="32"/>
        <v>0</v>
      </c>
      <c r="L80" s="511">
        <f t="shared" si="32"/>
        <v>0</v>
      </c>
      <c r="M80" s="511">
        <f t="shared" si="32"/>
        <v>0</v>
      </c>
      <c r="N80" s="511"/>
      <c r="O80" s="511">
        <f t="shared" si="32"/>
        <v>0</v>
      </c>
      <c r="P80" s="508"/>
      <c r="Q80" s="508"/>
      <c r="R80" s="460"/>
      <c r="S80" s="508"/>
      <c r="T80" s="508"/>
      <c r="U80" s="508"/>
      <c r="V80" s="508"/>
      <c r="W80" s="25"/>
    </row>
    <row r="81" spans="1:23" x14ac:dyDescent="0.2">
      <c r="A81" s="24"/>
      <c r="B81" s="511">
        <f t="shared" si="30"/>
        <v>0</v>
      </c>
      <c r="C81" s="511">
        <f t="shared" si="31"/>
        <v>0</v>
      </c>
      <c r="D81" s="511">
        <f t="shared" si="32"/>
        <v>0</v>
      </c>
      <c r="E81" s="511">
        <f t="shared" si="32"/>
        <v>0</v>
      </c>
      <c r="F81" s="511">
        <f t="shared" si="32"/>
        <v>0</v>
      </c>
      <c r="G81" s="511">
        <f t="shared" si="32"/>
        <v>0</v>
      </c>
      <c r="H81" s="511">
        <f t="shared" si="32"/>
        <v>0</v>
      </c>
      <c r="I81" s="511">
        <f t="shared" si="32"/>
        <v>0</v>
      </c>
      <c r="J81" s="511">
        <f t="shared" si="32"/>
        <v>0</v>
      </c>
      <c r="K81" s="511">
        <f t="shared" si="32"/>
        <v>0</v>
      </c>
      <c r="L81" s="511">
        <f t="shared" si="32"/>
        <v>0</v>
      </c>
      <c r="M81" s="511">
        <f t="shared" si="32"/>
        <v>0</v>
      </c>
      <c r="N81" s="511"/>
      <c r="O81" s="511">
        <f t="shared" si="32"/>
        <v>0</v>
      </c>
      <c r="P81" s="508"/>
      <c r="Q81" s="508"/>
      <c r="R81" s="460"/>
      <c r="S81" s="508"/>
      <c r="T81" s="508"/>
      <c r="U81" s="508"/>
      <c r="V81" s="508"/>
      <c r="W81" s="25"/>
    </row>
    <row r="82" spans="1:23" x14ac:dyDescent="0.2">
      <c r="A82" s="24"/>
      <c r="B82" s="511">
        <f t="shared" si="30"/>
        <v>0</v>
      </c>
      <c r="C82" s="511">
        <f t="shared" si="31"/>
        <v>0</v>
      </c>
      <c r="D82" s="511">
        <f t="shared" si="32"/>
        <v>0</v>
      </c>
      <c r="E82" s="511">
        <f t="shared" si="32"/>
        <v>0</v>
      </c>
      <c r="F82" s="511">
        <f t="shared" si="32"/>
        <v>0</v>
      </c>
      <c r="G82" s="511">
        <f t="shared" si="32"/>
        <v>0</v>
      </c>
      <c r="H82" s="511">
        <f t="shared" si="32"/>
        <v>0</v>
      </c>
      <c r="I82" s="511">
        <f t="shared" si="32"/>
        <v>0</v>
      </c>
      <c r="J82" s="511">
        <f t="shared" si="32"/>
        <v>0</v>
      </c>
      <c r="K82" s="511">
        <f t="shared" si="32"/>
        <v>0</v>
      </c>
      <c r="L82" s="511">
        <f t="shared" si="32"/>
        <v>0</v>
      </c>
      <c r="M82" s="511">
        <f t="shared" si="32"/>
        <v>0</v>
      </c>
      <c r="N82" s="511"/>
      <c r="O82" s="511">
        <f t="shared" si="32"/>
        <v>0</v>
      </c>
      <c r="P82" s="508"/>
      <c r="Q82" s="508"/>
      <c r="R82" s="460"/>
      <c r="S82" s="508"/>
      <c r="T82" s="508"/>
      <c r="U82" s="508"/>
      <c r="V82" s="508"/>
      <c r="W82" s="25"/>
    </row>
    <row r="83" spans="1:23" x14ac:dyDescent="0.2">
      <c r="A83" s="24"/>
      <c r="B83" s="511">
        <f t="shared" si="30"/>
        <v>0</v>
      </c>
      <c r="C83" s="511">
        <f t="shared" si="31"/>
        <v>0</v>
      </c>
      <c r="D83" s="511">
        <f t="shared" si="32"/>
        <v>0</v>
      </c>
      <c r="E83" s="511">
        <f t="shared" si="32"/>
        <v>0</v>
      </c>
      <c r="F83" s="511">
        <f t="shared" si="32"/>
        <v>0</v>
      </c>
      <c r="G83" s="511">
        <f t="shared" si="32"/>
        <v>0</v>
      </c>
      <c r="H83" s="511">
        <f t="shared" si="32"/>
        <v>0</v>
      </c>
      <c r="I83" s="511">
        <f t="shared" si="32"/>
        <v>0</v>
      </c>
      <c r="J83" s="511">
        <f t="shared" si="32"/>
        <v>0</v>
      </c>
      <c r="K83" s="511">
        <f t="shared" si="32"/>
        <v>0</v>
      </c>
      <c r="L83" s="511">
        <f t="shared" si="32"/>
        <v>0</v>
      </c>
      <c r="M83" s="511">
        <f t="shared" si="32"/>
        <v>0</v>
      </c>
      <c r="N83" s="511"/>
      <c r="O83" s="511">
        <f t="shared" si="32"/>
        <v>0</v>
      </c>
      <c r="P83" s="508"/>
      <c r="Q83" s="508"/>
      <c r="R83" s="460"/>
      <c r="S83" s="508"/>
      <c r="T83" s="508"/>
      <c r="U83" s="508"/>
      <c r="V83" s="508"/>
      <c r="W83" s="25"/>
    </row>
    <row r="84" spans="1:23" x14ac:dyDescent="0.2">
      <c r="A84" s="24"/>
      <c r="B84" s="511">
        <f t="shared" si="30"/>
        <v>0</v>
      </c>
      <c r="C84" s="511">
        <f t="shared" si="31"/>
        <v>0</v>
      </c>
      <c r="D84" s="511">
        <f t="shared" si="32"/>
        <v>0</v>
      </c>
      <c r="E84" s="511">
        <f t="shared" si="32"/>
        <v>0</v>
      </c>
      <c r="F84" s="511">
        <f t="shared" si="32"/>
        <v>0</v>
      </c>
      <c r="G84" s="511">
        <f t="shared" si="32"/>
        <v>0</v>
      </c>
      <c r="H84" s="511">
        <f t="shared" si="32"/>
        <v>0</v>
      </c>
      <c r="I84" s="511">
        <f t="shared" si="32"/>
        <v>0</v>
      </c>
      <c r="J84" s="511">
        <f t="shared" si="32"/>
        <v>0</v>
      </c>
      <c r="K84" s="511">
        <f t="shared" si="32"/>
        <v>0</v>
      </c>
      <c r="L84" s="511">
        <f t="shared" si="32"/>
        <v>0</v>
      </c>
      <c r="M84" s="511">
        <f t="shared" si="32"/>
        <v>0</v>
      </c>
      <c r="N84" s="511"/>
      <c r="O84" s="511">
        <f t="shared" si="32"/>
        <v>0</v>
      </c>
      <c r="P84" s="508"/>
      <c r="Q84" s="508"/>
      <c r="R84" s="460"/>
      <c r="S84" s="508"/>
      <c r="T84" s="508"/>
      <c r="U84" s="508"/>
      <c r="V84" s="508"/>
      <c r="W84" s="25"/>
    </row>
    <row r="85" spans="1:23" x14ac:dyDescent="0.2">
      <c r="A85" s="24"/>
      <c r="B85" s="511">
        <f t="shared" si="30"/>
        <v>0</v>
      </c>
      <c r="C85" s="511">
        <f t="shared" si="31"/>
        <v>0</v>
      </c>
      <c r="D85" s="511">
        <f t="shared" si="32"/>
        <v>0</v>
      </c>
      <c r="E85" s="511">
        <f t="shared" si="32"/>
        <v>0</v>
      </c>
      <c r="F85" s="511">
        <f t="shared" si="32"/>
        <v>0</v>
      </c>
      <c r="G85" s="511">
        <f t="shared" si="32"/>
        <v>0</v>
      </c>
      <c r="H85" s="511">
        <f t="shared" si="32"/>
        <v>0</v>
      </c>
      <c r="I85" s="511">
        <f t="shared" si="32"/>
        <v>0</v>
      </c>
      <c r="J85" s="511">
        <f t="shared" si="32"/>
        <v>0</v>
      </c>
      <c r="K85" s="511">
        <f t="shared" si="32"/>
        <v>0</v>
      </c>
      <c r="L85" s="511">
        <f t="shared" si="32"/>
        <v>0</v>
      </c>
      <c r="M85" s="511">
        <f t="shared" si="32"/>
        <v>0</v>
      </c>
      <c r="N85" s="511"/>
      <c r="O85" s="511">
        <f t="shared" si="32"/>
        <v>0</v>
      </c>
      <c r="P85" s="508"/>
      <c r="Q85" s="508"/>
      <c r="R85" s="460"/>
      <c r="S85" s="508"/>
      <c r="T85" s="508"/>
      <c r="U85" s="508"/>
      <c r="V85" s="508"/>
      <c r="W85" s="25"/>
    </row>
    <row r="86" spans="1:23" x14ac:dyDescent="0.2">
      <c r="A86" s="24"/>
      <c r="B86" s="511">
        <f t="shared" si="30"/>
        <v>0</v>
      </c>
      <c r="C86" s="511">
        <f t="shared" si="31"/>
        <v>0</v>
      </c>
      <c r="D86" s="511">
        <f t="shared" si="32"/>
        <v>0</v>
      </c>
      <c r="E86" s="511">
        <f t="shared" si="32"/>
        <v>0</v>
      </c>
      <c r="F86" s="511">
        <f t="shared" si="32"/>
        <v>0</v>
      </c>
      <c r="G86" s="511">
        <f t="shared" si="32"/>
        <v>0</v>
      </c>
      <c r="H86" s="511">
        <f t="shared" si="32"/>
        <v>0</v>
      </c>
      <c r="I86" s="511">
        <f t="shared" si="32"/>
        <v>0</v>
      </c>
      <c r="J86" s="511">
        <f t="shared" si="32"/>
        <v>0</v>
      </c>
      <c r="K86" s="511">
        <f t="shared" si="32"/>
        <v>0</v>
      </c>
      <c r="L86" s="511">
        <f t="shared" si="32"/>
        <v>0</v>
      </c>
      <c r="M86" s="511">
        <f t="shared" si="32"/>
        <v>0</v>
      </c>
      <c r="N86" s="511"/>
      <c r="O86" s="511">
        <f t="shared" si="32"/>
        <v>0</v>
      </c>
      <c r="P86" s="508"/>
      <c r="Q86" s="508"/>
      <c r="R86" s="460"/>
      <c r="S86" s="508"/>
      <c r="T86" s="508"/>
      <c r="U86" s="508"/>
      <c r="V86" s="508"/>
      <c r="W86" s="25"/>
    </row>
    <row r="87" spans="1:23" x14ac:dyDescent="0.2">
      <c r="A87" s="24"/>
      <c r="B87" s="511">
        <f t="shared" si="30"/>
        <v>0</v>
      </c>
      <c r="C87" s="511">
        <f t="shared" si="31"/>
        <v>0</v>
      </c>
      <c r="D87" s="511">
        <f t="shared" si="32"/>
        <v>0</v>
      </c>
      <c r="E87" s="511">
        <f t="shared" si="32"/>
        <v>0</v>
      </c>
      <c r="F87" s="511">
        <f t="shared" si="32"/>
        <v>0</v>
      </c>
      <c r="G87" s="511">
        <f t="shared" si="32"/>
        <v>0</v>
      </c>
      <c r="H87" s="511">
        <f t="shared" si="32"/>
        <v>0</v>
      </c>
      <c r="I87" s="511">
        <f t="shared" si="32"/>
        <v>0</v>
      </c>
      <c r="J87" s="511">
        <f t="shared" si="32"/>
        <v>0</v>
      </c>
      <c r="K87" s="511">
        <f t="shared" si="32"/>
        <v>0</v>
      </c>
      <c r="L87" s="511">
        <f t="shared" si="32"/>
        <v>0</v>
      </c>
      <c r="M87" s="511">
        <f t="shared" si="32"/>
        <v>0</v>
      </c>
      <c r="N87" s="511"/>
      <c r="O87" s="511">
        <f t="shared" si="32"/>
        <v>0</v>
      </c>
      <c r="P87" s="508"/>
      <c r="Q87" s="508"/>
      <c r="R87" s="460"/>
      <c r="S87" s="508"/>
      <c r="T87" s="508"/>
      <c r="U87" s="508"/>
      <c r="V87" s="508"/>
      <c r="W87" s="25"/>
    </row>
    <row r="88" spans="1:23" x14ac:dyDescent="0.2">
      <c r="A88" s="24"/>
      <c r="B88" s="511">
        <f t="shared" si="30"/>
        <v>0</v>
      </c>
      <c r="C88" s="511">
        <f t="shared" si="31"/>
        <v>0</v>
      </c>
      <c r="D88" s="511">
        <f t="shared" si="32"/>
        <v>0</v>
      </c>
      <c r="E88" s="511">
        <f t="shared" si="32"/>
        <v>0</v>
      </c>
      <c r="F88" s="511">
        <f t="shared" si="32"/>
        <v>0</v>
      </c>
      <c r="G88" s="511">
        <f t="shared" si="32"/>
        <v>0</v>
      </c>
      <c r="H88" s="511">
        <f t="shared" si="32"/>
        <v>0</v>
      </c>
      <c r="I88" s="511">
        <f t="shared" si="32"/>
        <v>0</v>
      </c>
      <c r="J88" s="511">
        <f t="shared" si="32"/>
        <v>0</v>
      </c>
      <c r="K88" s="511">
        <f t="shared" si="32"/>
        <v>0</v>
      </c>
      <c r="L88" s="511">
        <f t="shared" si="32"/>
        <v>0</v>
      </c>
      <c r="M88" s="511">
        <f t="shared" si="32"/>
        <v>0</v>
      </c>
      <c r="N88" s="511"/>
      <c r="O88" s="511">
        <f t="shared" si="32"/>
        <v>0</v>
      </c>
      <c r="P88" s="508"/>
      <c r="Q88" s="508"/>
      <c r="R88" s="460"/>
      <c r="S88" s="508"/>
      <c r="T88" s="508"/>
      <c r="U88" s="508"/>
      <c r="V88" s="508"/>
      <c r="W88" s="25"/>
    </row>
    <row r="89" spans="1:23" x14ac:dyDescent="0.2">
      <c r="A89" s="24"/>
      <c r="B89" s="511">
        <f t="shared" si="30"/>
        <v>0</v>
      </c>
      <c r="C89" s="511">
        <f t="shared" si="31"/>
        <v>0</v>
      </c>
      <c r="D89" s="511">
        <f t="shared" si="32"/>
        <v>0</v>
      </c>
      <c r="E89" s="511">
        <f t="shared" si="32"/>
        <v>0</v>
      </c>
      <c r="F89" s="511">
        <f t="shared" si="32"/>
        <v>0</v>
      </c>
      <c r="G89" s="511">
        <f t="shared" si="32"/>
        <v>0</v>
      </c>
      <c r="H89" s="511">
        <f t="shared" si="32"/>
        <v>0</v>
      </c>
      <c r="I89" s="511">
        <f t="shared" si="32"/>
        <v>0</v>
      </c>
      <c r="J89" s="511">
        <f t="shared" si="32"/>
        <v>0</v>
      </c>
      <c r="K89" s="511">
        <f t="shared" si="32"/>
        <v>0</v>
      </c>
      <c r="L89" s="511">
        <f t="shared" si="32"/>
        <v>0</v>
      </c>
      <c r="M89" s="511">
        <f t="shared" si="32"/>
        <v>0</v>
      </c>
      <c r="N89" s="511"/>
      <c r="O89" s="511">
        <f t="shared" si="32"/>
        <v>0</v>
      </c>
      <c r="P89" s="508"/>
      <c r="Q89" s="508"/>
      <c r="R89" s="460"/>
      <c r="S89" s="508"/>
      <c r="T89" s="508"/>
      <c r="U89" s="508"/>
      <c r="V89" s="508"/>
      <c r="W89" s="25"/>
    </row>
    <row r="90" spans="1:23" x14ac:dyDescent="0.2">
      <c r="A90" s="24"/>
      <c r="B90" s="511">
        <f t="shared" si="30"/>
        <v>0</v>
      </c>
      <c r="C90" s="511">
        <f t="shared" si="31"/>
        <v>0</v>
      </c>
      <c r="D90" s="511">
        <f t="shared" si="32"/>
        <v>0</v>
      </c>
      <c r="E90" s="511">
        <f t="shared" si="32"/>
        <v>0</v>
      </c>
      <c r="F90" s="511">
        <f t="shared" si="32"/>
        <v>0</v>
      </c>
      <c r="G90" s="511">
        <f t="shared" si="32"/>
        <v>0</v>
      </c>
      <c r="H90" s="511">
        <f t="shared" si="32"/>
        <v>0</v>
      </c>
      <c r="I90" s="511">
        <f t="shared" si="32"/>
        <v>0</v>
      </c>
      <c r="J90" s="511">
        <f t="shared" si="32"/>
        <v>0</v>
      </c>
      <c r="K90" s="511">
        <f t="shared" si="32"/>
        <v>0</v>
      </c>
      <c r="L90" s="511">
        <f t="shared" si="32"/>
        <v>0</v>
      </c>
      <c r="M90" s="511">
        <f t="shared" si="32"/>
        <v>0</v>
      </c>
      <c r="N90" s="511"/>
      <c r="O90" s="511">
        <f t="shared" si="32"/>
        <v>0</v>
      </c>
      <c r="P90" s="508"/>
      <c r="Q90" s="508"/>
      <c r="R90" s="460"/>
      <c r="S90" s="508"/>
      <c r="T90" s="508"/>
      <c r="U90" s="508"/>
      <c r="V90" s="508"/>
      <c r="W90" s="25"/>
    </row>
    <row r="91" spans="1:23" x14ac:dyDescent="0.2">
      <c r="A91" s="24"/>
      <c r="B91" s="511">
        <f t="shared" si="30"/>
        <v>0</v>
      </c>
      <c r="C91" s="511">
        <f t="shared" si="31"/>
        <v>0</v>
      </c>
      <c r="D91" s="511">
        <f t="shared" si="32"/>
        <v>0</v>
      </c>
      <c r="E91" s="511">
        <f t="shared" si="32"/>
        <v>0</v>
      </c>
      <c r="F91" s="511">
        <f t="shared" si="32"/>
        <v>0</v>
      </c>
      <c r="G91" s="511">
        <f t="shared" si="32"/>
        <v>0</v>
      </c>
      <c r="H91" s="511">
        <f t="shared" si="32"/>
        <v>0</v>
      </c>
      <c r="I91" s="511">
        <f t="shared" si="32"/>
        <v>0</v>
      </c>
      <c r="J91" s="511">
        <f t="shared" si="32"/>
        <v>0</v>
      </c>
      <c r="K91" s="511">
        <f t="shared" si="32"/>
        <v>0</v>
      </c>
      <c r="L91" s="511">
        <f t="shared" si="32"/>
        <v>0</v>
      </c>
      <c r="M91" s="511">
        <f t="shared" si="32"/>
        <v>0</v>
      </c>
      <c r="N91" s="511"/>
      <c r="O91" s="511">
        <f t="shared" si="32"/>
        <v>0</v>
      </c>
      <c r="P91" s="508"/>
      <c r="Q91" s="508"/>
      <c r="R91" s="460"/>
      <c r="S91" s="508"/>
      <c r="T91" s="508"/>
      <c r="U91" s="508"/>
      <c r="V91" s="508"/>
      <c r="W91" s="25"/>
    </row>
    <row r="92" spans="1:23" x14ac:dyDescent="0.2">
      <c r="A92" s="24"/>
      <c r="B92" s="511">
        <f t="shared" si="30"/>
        <v>0</v>
      </c>
      <c r="C92" s="511">
        <f t="shared" si="31"/>
        <v>0</v>
      </c>
      <c r="D92" s="511">
        <f t="shared" si="32"/>
        <v>0</v>
      </c>
      <c r="E92" s="511">
        <f t="shared" si="32"/>
        <v>0</v>
      </c>
      <c r="F92" s="511">
        <f t="shared" si="32"/>
        <v>0</v>
      </c>
      <c r="G92" s="511">
        <f t="shared" si="32"/>
        <v>0</v>
      </c>
      <c r="H92" s="511">
        <f t="shared" si="32"/>
        <v>0</v>
      </c>
      <c r="I92" s="511">
        <f t="shared" si="32"/>
        <v>0</v>
      </c>
      <c r="J92" s="511">
        <f t="shared" si="32"/>
        <v>0</v>
      </c>
      <c r="K92" s="511">
        <f t="shared" si="32"/>
        <v>0</v>
      </c>
      <c r="L92" s="511">
        <f t="shared" si="32"/>
        <v>0</v>
      </c>
      <c r="M92" s="511">
        <f t="shared" si="32"/>
        <v>0</v>
      </c>
      <c r="N92" s="511"/>
      <c r="O92" s="511">
        <f t="shared" si="32"/>
        <v>0</v>
      </c>
      <c r="P92" s="508"/>
      <c r="Q92" s="508"/>
      <c r="R92" s="460"/>
      <c r="S92" s="508"/>
      <c r="T92" s="508"/>
      <c r="U92" s="508"/>
      <c r="V92" s="508"/>
      <c r="W92" s="25"/>
    </row>
    <row r="93" spans="1:23" x14ac:dyDescent="0.2">
      <c r="A93" s="24"/>
      <c r="B93" s="511">
        <f t="shared" si="30"/>
        <v>0</v>
      </c>
      <c r="C93" s="511">
        <f t="shared" si="31"/>
        <v>0</v>
      </c>
      <c r="D93" s="511">
        <f t="shared" si="32"/>
        <v>0</v>
      </c>
      <c r="E93" s="511">
        <f t="shared" si="32"/>
        <v>0</v>
      </c>
      <c r="F93" s="511">
        <f t="shared" si="32"/>
        <v>0</v>
      </c>
      <c r="G93" s="511">
        <f t="shared" si="32"/>
        <v>0</v>
      </c>
      <c r="H93" s="511">
        <f t="shared" si="32"/>
        <v>0</v>
      </c>
      <c r="I93" s="511">
        <f t="shared" si="32"/>
        <v>0</v>
      </c>
      <c r="J93" s="511">
        <f t="shared" si="32"/>
        <v>0</v>
      </c>
      <c r="K93" s="511">
        <f t="shared" si="32"/>
        <v>0</v>
      </c>
      <c r="L93" s="511">
        <f t="shared" si="32"/>
        <v>0</v>
      </c>
      <c r="M93" s="511">
        <f t="shared" si="32"/>
        <v>0</v>
      </c>
      <c r="N93" s="511"/>
      <c r="O93" s="511">
        <f t="shared" si="32"/>
        <v>0</v>
      </c>
      <c r="P93" s="508"/>
      <c r="Q93" s="508"/>
      <c r="R93" s="460"/>
      <c r="S93" s="508"/>
      <c r="T93" s="508"/>
      <c r="U93" s="508"/>
      <c r="V93" s="508"/>
      <c r="W93" s="25"/>
    </row>
    <row r="94" spans="1:23" x14ac:dyDescent="0.2">
      <c r="A94" s="24"/>
      <c r="B94" s="511"/>
      <c r="C94" s="506">
        <f ca="1">SUMIF(C75:C93,"&gt;0",C75:C92)</f>
        <v>0</v>
      </c>
      <c r="D94" s="506">
        <f ca="1">SUMIF(D75:D93,"&gt;0",D75:D92)</f>
        <v>0</v>
      </c>
      <c r="E94" s="506">
        <f t="shared" ref="E94:O94" ca="1" si="33">SUMIF(E75:E93,"&gt;0",E75:E92)</f>
        <v>0</v>
      </c>
      <c r="F94" s="506">
        <f t="shared" ca="1" si="33"/>
        <v>0</v>
      </c>
      <c r="G94" s="506">
        <f t="shared" ca="1" si="33"/>
        <v>0</v>
      </c>
      <c r="H94" s="506">
        <f t="shared" ca="1" si="33"/>
        <v>0</v>
      </c>
      <c r="I94" s="506">
        <f t="shared" ca="1" si="33"/>
        <v>0</v>
      </c>
      <c r="J94" s="506">
        <f t="shared" ca="1" si="33"/>
        <v>0</v>
      </c>
      <c r="K94" s="506">
        <f t="shared" ca="1" si="33"/>
        <v>0</v>
      </c>
      <c r="L94" s="506">
        <f t="shared" ca="1" si="33"/>
        <v>0</v>
      </c>
      <c r="M94" s="506">
        <f t="shared" ca="1" si="33"/>
        <v>0</v>
      </c>
      <c r="N94" s="506"/>
      <c r="O94" s="506">
        <f t="shared" ca="1" si="33"/>
        <v>0</v>
      </c>
      <c r="P94" s="508"/>
      <c r="Q94" s="508"/>
      <c r="R94" s="460"/>
      <c r="S94" s="508"/>
      <c r="T94" s="508"/>
      <c r="U94" s="508"/>
      <c r="V94" s="508"/>
      <c r="W94" s="25"/>
    </row>
    <row r="95" spans="1:23" s="23" customFormat="1" ht="14.25" customHeight="1" x14ac:dyDescent="0.2">
      <c r="B95" s="512"/>
      <c r="C95" s="460" t="s">
        <v>102</v>
      </c>
      <c r="D95" s="460" t="s">
        <v>102</v>
      </c>
      <c r="E95" s="460" t="s">
        <v>102</v>
      </c>
      <c r="F95" s="460" t="s">
        <v>102</v>
      </c>
      <c r="G95" s="460" t="s">
        <v>102</v>
      </c>
      <c r="H95" s="460" t="s">
        <v>102</v>
      </c>
      <c r="I95" s="460" t="s">
        <v>102</v>
      </c>
      <c r="J95" s="460" t="s">
        <v>102</v>
      </c>
      <c r="K95" s="460" t="s">
        <v>102</v>
      </c>
      <c r="L95" s="460" t="s">
        <v>102</v>
      </c>
      <c r="M95" s="460" t="s">
        <v>102</v>
      </c>
      <c r="N95" s="460"/>
      <c r="O95" s="460"/>
      <c r="P95" s="460" t="s">
        <v>102</v>
      </c>
      <c r="Q95" s="460" t="s">
        <v>102</v>
      </c>
      <c r="R95" s="460" t="s">
        <v>102</v>
      </c>
      <c r="S95" s="508"/>
      <c r="T95" s="508"/>
      <c r="U95" s="508"/>
      <c r="V95" s="508"/>
      <c r="W95" s="25"/>
    </row>
    <row r="96" spans="1:23" s="23" customFormat="1" x14ac:dyDescent="0.2">
      <c r="B96" s="512"/>
      <c r="C96" s="460" t="s">
        <v>102</v>
      </c>
      <c r="D96" s="460" t="s">
        <v>102</v>
      </c>
      <c r="E96" s="460" t="s">
        <v>102</v>
      </c>
      <c r="F96" s="460" t="s">
        <v>102</v>
      </c>
      <c r="G96" s="460" t="s">
        <v>102</v>
      </c>
      <c r="H96" s="460" t="s">
        <v>102</v>
      </c>
      <c r="I96" s="460" t="s">
        <v>102</v>
      </c>
      <c r="J96" s="460" t="s">
        <v>102</v>
      </c>
      <c r="K96" s="460" t="s">
        <v>102</v>
      </c>
      <c r="L96" s="460" t="s">
        <v>102</v>
      </c>
      <c r="M96" s="460" t="s">
        <v>102</v>
      </c>
      <c r="N96" s="460"/>
      <c r="O96" s="460"/>
      <c r="P96" s="460" t="s">
        <v>102</v>
      </c>
      <c r="Q96" s="460" t="s">
        <v>102</v>
      </c>
      <c r="R96" s="460" t="s">
        <v>102</v>
      </c>
      <c r="S96" s="508"/>
      <c r="T96" s="508"/>
      <c r="U96" s="508"/>
      <c r="V96" s="508"/>
      <c r="W96" s="25"/>
    </row>
    <row r="97" spans="2:23" s="23" customFormat="1" x14ac:dyDescent="0.2">
      <c r="B97" s="512"/>
      <c r="C97" s="512"/>
      <c r="D97" s="512"/>
      <c r="E97" s="512"/>
      <c r="F97" s="512"/>
      <c r="G97" s="512"/>
      <c r="H97" s="512"/>
      <c r="I97" s="512"/>
      <c r="J97" s="512"/>
      <c r="K97" s="512"/>
      <c r="L97" s="508"/>
      <c r="M97" s="508"/>
      <c r="N97" s="508"/>
      <c r="O97" s="508"/>
      <c r="P97" s="508"/>
      <c r="Q97" s="508"/>
      <c r="R97" s="508"/>
      <c r="S97" s="508"/>
      <c r="T97" s="508"/>
      <c r="U97" s="508"/>
      <c r="V97" s="508"/>
      <c r="W97" s="25"/>
    </row>
    <row r="98" spans="2:23" s="23" customFormat="1" x14ac:dyDescent="0.2">
      <c r="B98" s="512"/>
      <c r="C98" s="512"/>
      <c r="D98" s="512"/>
      <c r="E98" s="512"/>
      <c r="F98" s="512"/>
      <c r="G98" s="512"/>
      <c r="H98" s="512"/>
      <c r="I98" s="512"/>
      <c r="J98" s="512"/>
      <c r="K98" s="512"/>
      <c r="L98" s="508"/>
      <c r="M98" s="508"/>
      <c r="N98" s="508"/>
      <c r="O98" s="508"/>
      <c r="P98" s="508"/>
      <c r="Q98" s="508"/>
      <c r="R98" s="508"/>
      <c r="S98" s="508"/>
      <c r="T98" s="508"/>
      <c r="U98" s="508"/>
      <c r="V98" s="508"/>
      <c r="W98" s="25"/>
    </row>
    <row r="99" spans="2:23" s="23" customFormat="1" x14ac:dyDescent="0.2">
      <c r="B99" s="512"/>
      <c r="C99" s="512"/>
      <c r="D99" s="512"/>
      <c r="E99" s="512"/>
      <c r="F99" s="512"/>
      <c r="G99" s="512"/>
      <c r="H99" s="512"/>
      <c r="I99" s="512"/>
      <c r="J99" s="512"/>
      <c r="K99" s="512"/>
      <c r="L99" s="508"/>
      <c r="M99" s="508"/>
      <c r="N99" s="508"/>
      <c r="O99" s="508"/>
      <c r="P99" s="508"/>
      <c r="Q99" s="508"/>
      <c r="R99" s="508"/>
      <c r="S99" s="508"/>
      <c r="T99" s="508"/>
      <c r="U99" s="508"/>
      <c r="V99" s="508"/>
      <c r="W99" s="25"/>
    </row>
    <row r="100" spans="2:23" s="23" customFormat="1" x14ac:dyDescent="0.2">
      <c r="B100" s="512"/>
      <c r="C100" s="512"/>
      <c r="D100" s="512"/>
      <c r="E100" s="512"/>
      <c r="F100" s="512"/>
      <c r="G100" s="512"/>
      <c r="H100" s="512"/>
      <c r="I100" s="512"/>
      <c r="J100" s="512"/>
      <c r="K100" s="512"/>
      <c r="L100" s="508"/>
      <c r="M100" s="508"/>
      <c r="N100" s="508"/>
      <c r="O100" s="508"/>
      <c r="P100" s="508"/>
      <c r="Q100" s="508"/>
      <c r="R100" s="508"/>
      <c r="S100" s="508"/>
      <c r="T100" s="508"/>
      <c r="U100" s="508"/>
      <c r="V100" s="508"/>
      <c r="W100" s="25"/>
    </row>
    <row r="101" spans="2:23" s="23" customFormat="1" x14ac:dyDescent="0.2">
      <c r="B101" s="512"/>
      <c r="C101" s="512"/>
      <c r="D101" s="512"/>
      <c r="E101" s="512"/>
      <c r="F101" s="512"/>
      <c r="G101" s="512"/>
      <c r="H101" s="512"/>
      <c r="I101" s="512"/>
      <c r="J101" s="512"/>
      <c r="K101" s="512"/>
      <c r="L101" s="508"/>
      <c r="M101" s="508"/>
      <c r="N101" s="508"/>
      <c r="O101" s="508"/>
      <c r="P101" s="508"/>
      <c r="Q101" s="508"/>
      <c r="R101" s="508"/>
      <c r="S101" s="508"/>
      <c r="T101" s="508"/>
      <c r="U101" s="508"/>
      <c r="V101" s="508"/>
      <c r="W101" s="25"/>
    </row>
    <row r="102" spans="2:23" s="23" customFormat="1" x14ac:dyDescent="0.2">
      <c r="B102" s="512"/>
      <c r="C102" s="512"/>
      <c r="D102" s="512"/>
      <c r="E102" s="512"/>
      <c r="F102" s="512"/>
      <c r="G102" s="512"/>
      <c r="H102" s="512"/>
      <c r="I102" s="512"/>
      <c r="J102" s="512"/>
      <c r="K102" s="512"/>
      <c r="L102" s="508"/>
      <c r="M102" s="508"/>
      <c r="N102" s="508"/>
      <c r="O102" s="508"/>
      <c r="P102" s="508"/>
      <c r="Q102" s="508"/>
      <c r="R102" s="508"/>
      <c r="S102" s="508"/>
      <c r="T102" s="508"/>
      <c r="U102" s="508"/>
      <c r="V102" s="508"/>
      <c r="W102" s="25"/>
    </row>
    <row r="103" spans="2:23" s="23" customFormat="1" x14ac:dyDescent="0.2">
      <c r="B103" s="512"/>
      <c r="C103" s="512"/>
      <c r="D103" s="512"/>
      <c r="E103" s="512"/>
      <c r="F103" s="512"/>
      <c r="G103" s="512"/>
      <c r="H103" s="512"/>
      <c r="I103" s="512"/>
      <c r="J103" s="512"/>
      <c r="K103" s="512"/>
      <c r="L103" s="508"/>
      <c r="M103" s="508"/>
      <c r="N103" s="508"/>
      <c r="O103" s="508"/>
      <c r="P103" s="508"/>
      <c r="Q103" s="508"/>
      <c r="R103" s="508"/>
      <c r="S103" s="508"/>
      <c r="T103" s="508"/>
      <c r="U103" s="508"/>
      <c r="V103" s="508"/>
      <c r="W103" s="25"/>
    </row>
    <row r="104" spans="2:23" s="23" customFormat="1" x14ac:dyDescent="0.2">
      <c r="B104" s="512"/>
      <c r="C104" s="512"/>
      <c r="D104" s="512"/>
      <c r="E104" s="512"/>
      <c r="F104" s="512"/>
      <c r="G104" s="512"/>
      <c r="H104" s="512"/>
      <c r="I104" s="512"/>
      <c r="J104" s="512"/>
      <c r="K104" s="512"/>
      <c r="L104" s="508"/>
      <c r="M104" s="508"/>
      <c r="N104" s="508"/>
      <c r="O104" s="508"/>
      <c r="P104" s="508"/>
      <c r="Q104" s="508"/>
      <c r="R104" s="508"/>
      <c r="S104" s="508"/>
      <c r="T104" s="508"/>
      <c r="U104" s="508"/>
      <c r="V104" s="508"/>
      <c r="W104" s="25"/>
    </row>
    <row r="105" spans="2:23" s="23" customFormat="1" x14ac:dyDescent="0.2">
      <c r="B105" s="512"/>
      <c r="C105" s="512"/>
      <c r="D105" s="512"/>
      <c r="E105" s="512"/>
      <c r="F105" s="512"/>
      <c r="G105" s="512"/>
      <c r="H105" s="512"/>
      <c r="I105" s="512"/>
      <c r="J105" s="512"/>
      <c r="K105" s="512"/>
      <c r="L105" s="512"/>
      <c r="M105" s="512"/>
      <c r="N105" s="512"/>
      <c r="O105" s="512"/>
      <c r="P105" s="512"/>
      <c r="Q105" s="512"/>
      <c r="R105" s="512"/>
      <c r="S105" s="512"/>
      <c r="T105" s="512"/>
      <c r="U105" s="512"/>
      <c r="V105" s="512"/>
    </row>
    <row r="106" spans="2:23" s="23" customFormat="1" x14ac:dyDescent="0.2">
      <c r="B106" s="512"/>
      <c r="C106" s="512"/>
      <c r="D106" s="512"/>
      <c r="E106" s="512"/>
      <c r="F106" s="512"/>
      <c r="G106" s="512"/>
      <c r="H106" s="512"/>
      <c r="I106" s="512"/>
      <c r="J106" s="512"/>
      <c r="K106" s="512"/>
      <c r="L106" s="512"/>
      <c r="M106" s="512"/>
      <c r="N106" s="512"/>
      <c r="O106" s="512"/>
      <c r="P106" s="512"/>
      <c r="Q106" s="512"/>
      <c r="R106" s="512"/>
      <c r="S106" s="512"/>
      <c r="T106" s="512"/>
      <c r="U106" s="512"/>
      <c r="V106" s="512"/>
    </row>
    <row r="107" spans="2:23" s="23" customFormat="1" x14ac:dyDescent="0.2">
      <c r="B107" s="512"/>
      <c r="C107" s="512"/>
      <c r="D107" s="512"/>
      <c r="E107" s="512"/>
      <c r="F107" s="512"/>
      <c r="G107" s="512"/>
      <c r="H107" s="512"/>
      <c r="I107" s="512"/>
      <c r="J107" s="512"/>
      <c r="K107" s="512"/>
      <c r="L107" s="512"/>
      <c r="M107" s="512"/>
      <c r="N107" s="512"/>
      <c r="O107" s="512"/>
      <c r="P107" s="512"/>
      <c r="Q107" s="512"/>
      <c r="R107" s="512"/>
      <c r="S107" s="512"/>
      <c r="T107" s="512"/>
      <c r="U107" s="512"/>
      <c r="V107" s="512"/>
    </row>
    <row r="108" spans="2:23" s="23" customFormat="1" x14ac:dyDescent="0.2">
      <c r="B108" s="512"/>
      <c r="C108" s="512"/>
      <c r="D108" s="512"/>
      <c r="E108" s="512"/>
      <c r="F108" s="512"/>
      <c r="G108" s="512"/>
      <c r="H108" s="512"/>
      <c r="I108" s="512"/>
      <c r="J108" s="512"/>
      <c r="K108" s="512"/>
      <c r="L108" s="512"/>
      <c r="M108" s="512"/>
      <c r="N108" s="512"/>
      <c r="O108" s="512"/>
      <c r="P108" s="512"/>
      <c r="Q108" s="512"/>
      <c r="R108" s="512"/>
      <c r="S108" s="512"/>
      <c r="T108" s="512"/>
      <c r="U108" s="512"/>
      <c r="V108" s="512"/>
    </row>
    <row r="109" spans="2:23" s="23" customFormat="1" x14ac:dyDescent="0.2">
      <c r="B109" s="512"/>
      <c r="C109" s="512"/>
      <c r="D109" s="512"/>
      <c r="E109" s="508"/>
      <c r="F109" s="508"/>
      <c r="G109" s="508"/>
      <c r="H109" s="508"/>
      <c r="I109" s="508"/>
      <c r="J109" s="508"/>
      <c r="K109" s="508"/>
      <c r="L109" s="512"/>
      <c r="M109" s="512"/>
      <c r="N109" s="512"/>
      <c r="O109" s="512"/>
      <c r="P109" s="512"/>
      <c r="Q109" s="512"/>
      <c r="R109" s="512"/>
      <c r="S109" s="512"/>
      <c r="T109" s="512"/>
      <c r="U109" s="512"/>
      <c r="V109" s="512"/>
    </row>
    <row r="110" spans="2:23" s="23" customFormat="1" x14ac:dyDescent="0.2">
      <c r="B110" s="512"/>
      <c r="C110" s="512"/>
      <c r="D110" s="512"/>
      <c r="E110" s="508"/>
      <c r="F110" s="508"/>
      <c r="G110" s="508"/>
      <c r="H110" s="508"/>
      <c r="I110" s="508"/>
      <c r="J110" s="508"/>
      <c r="K110" s="508"/>
      <c r="L110" s="512"/>
      <c r="M110" s="512"/>
      <c r="N110" s="512"/>
      <c r="O110" s="512"/>
      <c r="P110" s="512"/>
      <c r="Q110" s="512"/>
      <c r="R110" s="512"/>
      <c r="S110" s="512"/>
      <c r="T110" s="512"/>
      <c r="U110" s="512"/>
      <c r="V110" s="512"/>
    </row>
    <row r="111" spans="2:23" s="23" customFormat="1" x14ac:dyDescent="0.2">
      <c r="B111" s="512"/>
      <c r="C111" s="512"/>
      <c r="D111" s="512"/>
      <c r="E111" s="508"/>
      <c r="F111" s="508"/>
      <c r="G111" s="508"/>
      <c r="H111" s="508"/>
      <c r="I111" s="508"/>
      <c r="J111" s="508"/>
      <c r="K111" s="508"/>
      <c r="L111" s="512"/>
      <c r="M111" s="512"/>
      <c r="N111" s="512"/>
      <c r="O111" s="512"/>
      <c r="P111" s="512"/>
      <c r="Q111" s="512"/>
      <c r="R111" s="512"/>
      <c r="S111" s="512"/>
      <c r="T111" s="512"/>
      <c r="U111" s="512"/>
      <c r="V111" s="512">
        <f t="shared" ref="V111:V116" si="34">V68</f>
        <v>0</v>
      </c>
    </row>
    <row r="112" spans="2:23" s="23" customFormat="1" x14ac:dyDescent="0.2">
      <c r="B112" s="512"/>
      <c r="C112" s="512"/>
      <c r="D112" s="512"/>
      <c r="E112" s="508"/>
      <c r="F112" s="508"/>
      <c r="G112" s="508"/>
      <c r="H112" s="508"/>
      <c r="I112" s="508"/>
      <c r="J112" s="508"/>
      <c r="K112" s="508"/>
      <c r="L112" s="512"/>
      <c r="M112" s="512"/>
      <c r="N112" s="512"/>
      <c r="O112" s="512"/>
      <c r="P112" s="512"/>
      <c r="Q112" s="512"/>
      <c r="R112" s="512"/>
      <c r="S112" s="512"/>
      <c r="T112" s="512"/>
      <c r="U112" s="512"/>
      <c r="V112" s="512">
        <f t="shared" si="34"/>
        <v>0</v>
      </c>
    </row>
    <row r="113" spans="1:22" s="23" customFormat="1" x14ac:dyDescent="0.2">
      <c r="B113" s="512"/>
      <c r="C113" s="512"/>
      <c r="D113" s="512"/>
      <c r="E113" s="508"/>
      <c r="F113" s="508"/>
      <c r="G113" s="508"/>
      <c r="H113" s="508"/>
      <c r="I113" s="508"/>
      <c r="J113" s="508"/>
      <c r="K113" s="508"/>
      <c r="L113" s="512"/>
      <c r="M113" s="512"/>
      <c r="N113" s="512"/>
      <c r="O113" s="512"/>
      <c r="P113" s="512"/>
      <c r="Q113" s="512"/>
      <c r="R113" s="512"/>
      <c r="S113" s="512"/>
      <c r="T113" s="512"/>
      <c r="U113" s="512"/>
      <c r="V113" s="512">
        <f t="shared" si="34"/>
        <v>0</v>
      </c>
    </row>
    <row r="114" spans="1:22" s="23" customFormat="1" x14ac:dyDescent="0.2">
      <c r="B114" s="512"/>
      <c r="C114" s="512"/>
      <c r="D114" s="512"/>
      <c r="E114" s="508"/>
      <c r="F114" s="508"/>
      <c r="G114" s="508"/>
      <c r="H114" s="508"/>
      <c r="I114" s="508"/>
      <c r="J114" s="508"/>
      <c r="K114" s="508"/>
      <c r="L114" s="512"/>
      <c r="M114" s="512"/>
      <c r="N114" s="512"/>
      <c r="O114" s="512"/>
      <c r="P114" s="512"/>
      <c r="Q114" s="512"/>
      <c r="R114" s="512"/>
      <c r="S114" s="512">
        <f t="shared" ref="S114:U116" si="35">S71</f>
        <v>0</v>
      </c>
      <c r="T114" s="512">
        <f t="shared" si="35"/>
        <v>0</v>
      </c>
      <c r="U114" s="512">
        <f t="shared" si="35"/>
        <v>0</v>
      </c>
      <c r="V114" s="512">
        <f t="shared" si="34"/>
        <v>0</v>
      </c>
    </row>
    <row r="115" spans="1:22" s="23" customFormat="1" x14ac:dyDescent="0.2">
      <c r="B115" s="512"/>
      <c r="C115" s="512"/>
      <c r="D115" s="512"/>
      <c r="E115" s="508"/>
      <c r="F115" s="508"/>
      <c r="G115" s="508"/>
      <c r="H115" s="508"/>
      <c r="I115" s="508"/>
      <c r="J115" s="508"/>
      <c r="K115" s="508"/>
      <c r="L115" s="512"/>
      <c r="M115" s="512"/>
      <c r="N115" s="512"/>
      <c r="O115" s="512"/>
      <c r="P115" s="512"/>
      <c r="Q115" s="512"/>
      <c r="R115" s="512"/>
      <c r="S115" s="512">
        <f t="shared" si="35"/>
        <v>0</v>
      </c>
      <c r="T115" s="512">
        <f t="shared" si="35"/>
        <v>0</v>
      </c>
      <c r="U115" s="512">
        <f t="shared" si="35"/>
        <v>0</v>
      </c>
      <c r="V115" s="512">
        <f t="shared" si="34"/>
        <v>0</v>
      </c>
    </row>
    <row r="116" spans="1:22" s="23" customFormat="1" x14ac:dyDescent="0.2">
      <c r="B116" s="512"/>
      <c r="C116" s="512"/>
      <c r="D116" s="512"/>
      <c r="E116" s="508"/>
      <c r="F116" s="508"/>
      <c r="G116" s="508"/>
      <c r="H116" s="508"/>
      <c r="I116" s="508"/>
      <c r="J116" s="508"/>
      <c r="K116" s="508"/>
      <c r="L116" s="512"/>
      <c r="M116" s="512"/>
      <c r="N116" s="512"/>
      <c r="O116" s="512"/>
      <c r="P116" s="512"/>
      <c r="Q116" s="512"/>
      <c r="R116" s="512"/>
      <c r="S116" s="512">
        <f t="shared" si="35"/>
        <v>0</v>
      </c>
      <c r="T116" s="512">
        <f t="shared" si="35"/>
        <v>0</v>
      </c>
      <c r="U116" s="512">
        <f t="shared" si="35"/>
        <v>0</v>
      </c>
      <c r="V116" s="512">
        <f t="shared" si="34"/>
        <v>0</v>
      </c>
    </row>
    <row r="117" spans="1:22" s="23" customFormat="1" x14ac:dyDescent="0.2">
      <c r="B117" s="512"/>
      <c r="C117" s="512"/>
      <c r="D117" s="512"/>
      <c r="E117" s="508"/>
      <c r="F117" s="508"/>
      <c r="G117" s="508"/>
      <c r="H117" s="508"/>
      <c r="I117" s="508"/>
      <c r="J117" s="508"/>
      <c r="K117" s="508"/>
      <c r="L117" s="512"/>
      <c r="M117" s="512"/>
      <c r="N117" s="512"/>
      <c r="O117" s="512"/>
      <c r="P117" s="512"/>
      <c r="Q117" s="512"/>
      <c r="R117" s="512"/>
      <c r="S117" s="512">
        <f>S95</f>
        <v>0</v>
      </c>
      <c r="T117" s="512">
        <f>T95</f>
        <v>0</v>
      </c>
      <c r="U117" s="512">
        <f>U95</f>
        <v>0</v>
      </c>
      <c r="V117" s="512">
        <f>V95</f>
        <v>0</v>
      </c>
    </row>
    <row r="118" spans="1:22" x14ac:dyDescent="0.2">
      <c r="A118" s="24"/>
      <c r="B118" s="501"/>
      <c r="E118" s="28"/>
      <c r="F118" s="513"/>
      <c r="G118" s="513"/>
      <c r="H118" s="513"/>
      <c r="I118" s="513"/>
      <c r="J118" s="513"/>
      <c r="K118" s="513"/>
      <c r="L118" s="514"/>
    </row>
    <row r="119" spans="1:22" x14ac:dyDescent="0.2">
      <c r="A119" s="24"/>
      <c r="E119" s="28"/>
      <c r="F119" s="513"/>
      <c r="G119" s="515"/>
      <c r="H119" s="515"/>
      <c r="I119" s="515"/>
      <c r="J119" s="515"/>
      <c r="K119" s="515"/>
      <c r="L119" s="514"/>
    </row>
    <row r="120" spans="1:22" x14ac:dyDescent="0.2">
      <c r="A120" s="24"/>
      <c r="E120" s="28"/>
      <c r="F120" s="513"/>
      <c r="G120" s="513"/>
      <c r="H120" s="513"/>
      <c r="I120" s="513"/>
      <c r="J120" s="513"/>
      <c r="K120" s="513"/>
      <c r="L120" s="514"/>
    </row>
    <row r="121" spans="1:22" x14ac:dyDescent="0.2">
      <c r="A121" s="24"/>
      <c r="E121" s="28"/>
      <c r="F121" s="513"/>
      <c r="G121" s="515"/>
      <c r="H121" s="515"/>
      <c r="I121" s="515"/>
      <c r="J121" s="515"/>
      <c r="K121" s="515"/>
      <c r="L121" s="514"/>
    </row>
    <row r="122" spans="1:22" x14ac:dyDescent="0.2">
      <c r="A122" s="24"/>
      <c r="E122" s="28"/>
      <c r="F122" s="513"/>
      <c r="G122" s="513"/>
      <c r="H122" s="513"/>
      <c r="I122" s="513"/>
      <c r="J122" s="513"/>
      <c r="K122" s="513"/>
      <c r="L122" s="514"/>
    </row>
    <row r="123" spans="1:22" x14ac:dyDescent="0.2">
      <c r="A123" s="24"/>
      <c r="E123" s="28"/>
      <c r="F123" s="513"/>
      <c r="G123" s="516"/>
      <c r="H123" s="516"/>
      <c r="I123" s="516"/>
      <c r="J123" s="516"/>
      <c r="K123" s="516"/>
      <c r="L123" s="517"/>
    </row>
    <row r="124" spans="1:22" x14ac:dyDescent="0.2">
      <c r="A124" s="24"/>
      <c r="E124" s="28"/>
      <c r="F124" s="513"/>
      <c r="G124" s="513"/>
      <c r="H124" s="513"/>
      <c r="I124" s="513"/>
      <c r="J124" s="513"/>
      <c r="K124" s="513"/>
      <c r="L124" s="514"/>
    </row>
    <row r="125" spans="1:22" x14ac:dyDescent="0.2">
      <c r="A125" s="24"/>
      <c r="E125" s="28"/>
      <c r="F125" s="513"/>
      <c r="G125" s="513"/>
      <c r="H125" s="513"/>
      <c r="I125" s="513"/>
      <c r="J125" s="513"/>
      <c r="K125" s="513"/>
      <c r="L125" s="514"/>
    </row>
    <row r="126" spans="1:22" x14ac:dyDescent="0.2">
      <c r="A126" s="24"/>
      <c r="E126" s="28"/>
      <c r="F126" s="513"/>
      <c r="G126" s="513"/>
      <c r="H126" s="513"/>
      <c r="I126" s="513"/>
      <c r="J126" s="513"/>
      <c r="K126" s="513"/>
      <c r="L126" s="517"/>
    </row>
    <row r="127" spans="1:22" x14ac:dyDescent="0.2">
      <c r="A127" s="24"/>
      <c r="E127" s="28"/>
      <c r="F127" s="513"/>
      <c r="G127" s="513"/>
      <c r="H127" s="513"/>
      <c r="I127" s="513"/>
      <c r="J127" s="513"/>
      <c r="K127" s="513"/>
      <c r="L127" s="514"/>
    </row>
    <row r="128" spans="1:22" x14ac:dyDescent="0.2">
      <c r="A128" s="24"/>
      <c r="E128" s="28"/>
      <c r="F128" s="518"/>
      <c r="G128" s="518"/>
      <c r="H128" s="513"/>
      <c r="I128" s="513"/>
      <c r="J128" s="513"/>
      <c r="K128" s="513"/>
      <c r="L128" s="514"/>
    </row>
    <row r="129" spans="1:12" x14ac:dyDescent="0.2">
      <c r="A129" s="24"/>
      <c r="E129" s="28"/>
      <c r="F129" s="518"/>
      <c r="G129" s="519"/>
      <c r="H129" s="513"/>
      <c r="I129" s="513"/>
      <c r="J129" s="513"/>
      <c r="K129" s="513"/>
      <c r="L129" s="514"/>
    </row>
    <row r="130" spans="1:12" x14ac:dyDescent="0.2">
      <c r="A130" s="24"/>
      <c r="E130" s="28"/>
      <c r="F130" s="518"/>
      <c r="G130" s="519"/>
      <c r="H130" s="513"/>
      <c r="I130" s="513"/>
      <c r="J130" s="513"/>
      <c r="K130" s="513"/>
      <c r="L130" s="514"/>
    </row>
    <row r="131" spans="1:12" x14ac:dyDescent="0.2">
      <c r="A131" s="24"/>
      <c r="E131" s="28"/>
      <c r="F131" s="518"/>
      <c r="G131" s="519"/>
      <c r="H131" s="513"/>
      <c r="I131" s="513"/>
      <c r="J131" s="513"/>
      <c r="K131" s="513"/>
      <c r="L131" s="514"/>
    </row>
    <row r="132" spans="1:12" x14ac:dyDescent="0.2">
      <c r="A132" s="24"/>
      <c r="E132" s="28"/>
      <c r="F132" s="518"/>
      <c r="G132" s="519"/>
      <c r="H132" s="513"/>
      <c r="I132" s="513"/>
      <c r="J132" s="513"/>
      <c r="K132" s="513"/>
      <c r="L132" s="514"/>
    </row>
    <row r="133" spans="1:12" x14ac:dyDescent="0.2">
      <c r="A133" s="24"/>
      <c r="E133" s="28"/>
      <c r="F133" s="513"/>
      <c r="G133" s="513"/>
      <c r="H133" s="513"/>
      <c r="I133" s="513"/>
      <c r="J133" s="513"/>
      <c r="K133" s="513"/>
      <c r="L133" s="514"/>
    </row>
    <row r="134" spans="1:12" x14ac:dyDescent="0.2">
      <c r="E134" s="28"/>
      <c r="F134" s="513"/>
      <c r="G134" s="513"/>
      <c r="H134" s="513"/>
      <c r="I134" s="513"/>
      <c r="J134" s="513"/>
      <c r="K134" s="513"/>
      <c r="L134" s="514"/>
    </row>
    <row r="135" spans="1:12" x14ac:dyDescent="0.2">
      <c r="E135" s="28"/>
      <c r="F135" s="28"/>
      <c r="G135" s="28"/>
      <c r="H135" s="28"/>
      <c r="I135" s="28"/>
      <c r="J135" s="28"/>
      <c r="K135" s="28"/>
    </row>
  </sheetData>
  <mergeCells count="49">
    <mergeCell ref="J8:K8"/>
    <mergeCell ref="J12:K12"/>
    <mergeCell ref="E15:F15"/>
    <mergeCell ref="J11:K11"/>
    <mergeCell ref="E12:F12"/>
    <mergeCell ref="J9:K9"/>
    <mergeCell ref="E9:F9"/>
    <mergeCell ref="E11:F11"/>
    <mergeCell ref="E8:F8"/>
    <mergeCell ref="E10:F10"/>
    <mergeCell ref="J10:K10"/>
    <mergeCell ref="J13:K13"/>
    <mergeCell ref="J15:K15"/>
    <mergeCell ref="E13:F13"/>
    <mergeCell ref="E14:F14"/>
    <mergeCell ref="J14:K14"/>
    <mergeCell ref="S27:T27"/>
    <mergeCell ref="J27:K27"/>
    <mergeCell ref="L27:M27"/>
    <mergeCell ref="J24:K24"/>
    <mergeCell ref="B26:O26"/>
    <mergeCell ref="G27:I27"/>
    <mergeCell ref="J22:K22"/>
    <mergeCell ref="E20:F20"/>
    <mergeCell ref="E19:F19"/>
    <mergeCell ref="J21:K21"/>
    <mergeCell ref="P28:Q28"/>
    <mergeCell ref="E24:F24"/>
    <mergeCell ref="J23:K23"/>
    <mergeCell ref="E23:F23"/>
    <mergeCell ref="E22:F22"/>
    <mergeCell ref="J20:K20"/>
    <mergeCell ref="J19:K19"/>
    <mergeCell ref="E21:F21"/>
    <mergeCell ref="J18:K18"/>
    <mergeCell ref="J16:K16"/>
    <mergeCell ref="E16:F16"/>
    <mergeCell ref="E17:F17"/>
    <mergeCell ref="E18:F18"/>
    <mergeCell ref="J17:K17"/>
    <mergeCell ref="J3:L3"/>
    <mergeCell ref="J6:K6"/>
    <mergeCell ref="J7:K7"/>
    <mergeCell ref="B3:H3"/>
    <mergeCell ref="J5:K5"/>
    <mergeCell ref="E4:F4"/>
    <mergeCell ref="E5:F5"/>
    <mergeCell ref="E6:F6"/>
    <mergeCell ref="E7:F7"/>
  </mergeCells>
  <phoneticPr fontId="50" type="noConversion"/>
  <dataValidations count="1">
    <dataValidation errorStyle="warning" allowBlank="1" showInputMessage="1" showErrorMessage="1" errorTitle="KKKKK" error="DEV SER SEMPRE IGUAL A 100" sqref="B29:B47"/>
  </dataValidations>
  <pageMargins left="0.78740157499999996" right="0.78740157499999996" top="0.984251969" bottom="0.984251969" header="0.49212598499999999" footer="0.49212598499999999"/>
  <pageSetup paperSize="9" scale="55" orientation="landscape" horizontalDpi="4294967293" r:id="rId1"/>
  <headerFooter alignWithMargins="0">
    <oddHeader>&amp;A</oddHeader>
    <oddFooter>Página &amp;P</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0">
    <pageSetUpPr fitToPage="1"/>
  </sheetPr>
  <dimension ref="A1:BF200"/>
  <sheetViews>
    <sheetView zoomScale="70" zoomScaleNormal="70" workbookViewId="0">
      <selection activeCell="L5" sqref="L5"/>
    </sheetView>
  </sheetViews>
  <sheetFormatPr defaultColWidth="11.42578125" defaultRowHeight="15" x14ac:dyDescent="0.2"/>
  <cols>
    <col min="1" max="1" width="5.5703125" style="14" customWidth="1"/>
    <col min="2" max="2" width="39.7109375" style="14" customWidth="1"/>
    <col min="3" max="3" width="21.5703125" style="14" customWidth="1"/>
    <col min="4" max="4" width="19.85546875" style="14" customWidth="1"/>
    <col min="5" max="5" width="16.28515625" style="14" customWidth="1"/>
    <col min="6" max="6" width="16.140625" style="14" customWidth="1"/>
    <col min="7" max="7" width="19.28515625" style="14" customWidth="1"/>
    <col min="8" max="8" width="11.42578125" style="14" customWidth="1"/>
    <col min="9" max="9" width="12.28515625" style="14" customWidth="1"/>
    <col min="10" max="10" width="9.85546875" style="14" customWidth="1"/>
    <col min="11" max="11" width="14.7109375" style="14" customWidth="1"/>
    <col min="12" max="12" width="18.28515625" style="14" customWidth="1"/>
    <col min="13" max="13" width="22.140625" style="14" customWidth="1"/>
    <col min="14" max="14" width="14.42578125" style="14" customWidth="1"/>
    <col min="15" max="15" width="27" style="14" customWidth="1"/>
    <col min="16" max="16" width="9" style="14" customWidth="1"/>
    <col min="17" max="17" width="10.140625" style="14" customWidth="1"/>
    <col min="18" max="20" width="11.42578125" style="14" customWidth="1"/>
    <col min="21" max="21" width="14.28515625" style="14" customWidth="1"/>
    <col min="22" max="29" width="11.42578125" style="14" customWidth="1"/>
    <col min="30" max="35" width="11.42578125" style="1" customWidth="1"/>
    <col min="36" max="16384" width="11.42578125" style="14"/>
  </cols>
  <sheetData>
    <row r="1" spans="1:29"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ht="15.75" thickBot="1" x14ac:dyDescent="0.25">
      <c r="A2" s="1"/>
      <c r="B2" s="610" t="str">
        <f>CADASTRO!C4</f>
        <v>Digitar o nome</v>
      </c>
      <c r="C2" s="610">
        <f>CADASTRO!C12</f>
        <v>44013</v>
      </c>
      <c r="D2" s="610"/>
      <c r="E2" s="1"/>
      <c r="F2" s="1"/>
      <c r="G2" s="1"/>
      <c r="H2" s="1"/>
      <c r="I2" s="1"/>
      <c r="J2" s="1"/>
      <c r="K2" s="1"/>
      <c r="L2" s="1"/>
      <c r="M2" s="1"/>
      <c r="N2" s="5"/>
      <c r="O2" s="5"/>
      <c r="P2" s="442" t="s">
        <v>56</v>
      </c>
      <c r="Q2" s="1"/>
      <c r="R2" s="1"/>
      <c r="S2" s="1"/>
      <c r="T2" s="1"/>
      <c r="U2" s="1"/>
      <c r="V2" s="1"/>
      <c r="W2" s="1"/>
      <c r="X2" s="1"/>
      <c r="Y2" s="1"/>
      <c r="Z2" s="1"/>
      <c r="AA2" s="1"/>
      <c r="AB2" s="1"/>
      <c r="AC2" s="1"/>
    </row>
    <row r="3" spans="1:29" ht="50.45" customHeight="1" thickBot="1" x14ac:dyDescent="0.3">
      <c r="A3" s="1"/>
      <c r="B3" s="3210" t="s">
        <v>753</v>
      </c>
      <c r="C3" s="3211"/>
      <c r="D3" s="3211"/>
      <c r="E3" s="3211"/>
      <c r="F3" s="3212"/>
      <c r="G3" s="25"/>
      <c r="H3" s="3183" t="s">
        <v>971</v>
      </c>
      <c r="I3" s="3213"/>
      <c r="J3" s="3213"/>
      <c r="K3" s="3213"/>
      <c r="L3" s="3214"/>
      <c r="M3" s="25"/>
      <c r="N3" s="39"/>
      <c r="O3" s="15"/>
      <c r="P3" s="442" t="s">
        <v>56</v>
      </c>
    </row>
    <row r="4" spans="1:29" ht="51" customHeight="1" thickBot="1" x14ac:dyDescent="0.25">
      <c r="A4" s="1"/>
      <c r="B4" s="1693" t="s">
        <v>97</v>
      </c>
      <c r="C4" s="1694" t="s">
        <v>98</v>
      </c>
      <c r="D4" s="1694" t="s">
        <v>99</v>
      </c>
      <c r="E4" s="1695" t="s">
        <v>100</v>
      </c>
      <c r="F4" s="1696" t="s">
        <v>101</v>
      </c>
      <c r="G4" s="1697"/>
      <c r="H4" s="1698" t="s">
        <v>297</v>
      </c>
      <c r="I4" s="1699"/>
      <c r="J4" s="1699"/>
      <c r="K4" s="1699"/>
      <c r="L4" s="1700" t="s">
        <v>296</v>
      </c>
      <c r="M4" s="5"/>
      <c r="N4" s="5"/>
      <c r="O4" s="5"/>
      <c r="P4" s="442" t="s">
        <v>56</v>
      </c>
      <c r="Q4" s="1"/>
      <c r="R4" s="1"/>
      <c r="S4" s="1"/>
      <c r="T4" s="1"/>
      <c r="U4" s="1"/>
      <c r="V4" s="1"/>
      <c r="W4" s="1"/>
      <c r="X4" s="1"/>
      <c r="Y4" s="1"/>
      <c r="Z4" s="1"/>
      <c r="AA4" s="1"/>
      <c r="AB4" s="1"/>
      <c r="AC4" s="1"/>
    </row>
    <row r="5" spans="1:29" ht="16.5" thickBot="1" x14ac:dyDescent="0.3">
      <c r="A5" s="1"/>
      <c r="B5" s="113" t="s">
        <v>790</v>
      </c>
      <c r="C5" s="36">
        <v>100</v>
      </c>
      <c r="D5" s="114">
        <v>100000</v>
      </c>
      <c r="E5" s="27">
        <v>50</v>
      </c>
      <c r="F5" s="626">
        <f>IF(E5=0,0,D5*0.9/E5)</f>
        <v>1800</v>
      </c>
      <c r="G5" s="552"/>
      <c r="H5" s="553" t="str">
        <f>B5</f>
        <v>Casa sede</v>
      </c>
      <c r="I5" s="554"/>
      <c r="J5" s="554"/>
      <c r="K5" s="555"/>
      <c r="L5" s="239">
        <f>'OUTROS CUSTOS'!B12</f>
        <v>0</v>
      </c>
      <c r="M5" s="5"/>
      <c r="N5" s="5"/>
      <c r="O5" s="5"/>
      <c r="P5" s="442" t="s">
        <v>56</v>
      </c>
      <c r="Q5" s="1"/>
      <c r="R5" s="1"/>
      <c r="S5" s="1"/>
      <c r="T5" s="1"/>
      <c r="U5" s="1"/>
      <c r="V5" s="1"/>
      <c r="W5" s="1"/>
      <c r="X5" s="1"/>
      <c r="Y5" s="1"/>
      <c r="Z5" s="1"/>
      <c r="AA5" s="1"/>
      <c r="AB5" s="1"/>
      <c r="AC5" s="1"/>
    </row>
    <row r="6" spans="1:29" ht="16.5" thickBot="1" x14ac:dyDescent="0.3">
      <c r="A6" s="1"/>
      <c r="B6" s="111"/>
      <c r="C6" s="37"/>
      <c r="D6" s="62"/>
      <c r="E6" s="27"/>
      <c r="F6" s="626">
        <f t="shared" ref="F6:F22" si="0">IF(E6=0,0,D6*0.9/E6)</f>
        <v>0</v>
      </c>
      <c r="G6" s="5"/>
      <c r="H6" s="553">
        <f t="shared" ref="H6:H14" si="1">B6</f>
        <v>0</v>
      </c>
      <c r="I6" s="556"/>
      <c r="J6" s="556"/>
      <c r="K6" s="557"/>
      <c r="L6" s="239">
        <f>F6*0.1</f>
        <v>0</v>
      </c>
      <c r="M6" s="5"/>
      <c r="N6" s="5"/>
      <c r="O6" s="5"/>
      <c r="P6" s="442" t="s">
        <v>56</v>
      </c>
      <c r="Q6" s="1"/>
      <c r="R6" s="1"/>
      <c r="S6" s="1"/>
      <c r="T6" s="1"/>
      <c r="U6" s="1"/>
      <c r="V6" s="1"/>
      <c r="W6" s="1"/>
      <c r="X6" s="1"/>
      <c r="Y6" s="1"/>
      <c r="Z6" s="1"/>
      <c r="AA6" s="1"/>
      <c r="AB6" s="1"/>
      <c r="AC6" s="1"/>
    </row>
    <row r="7" spans="1:29" ht="16.5" thickBot="1" x14ac:dyDescent="0.3">
      <c r="A7" s="1"/>
      <c r="B7" s="111"/>
      <c r="C7" s="37"/>
      <c r="D7" s="62"/>
      <c r="E7" s="27"/>
      <c r="F7" s="626">
        <f t="shared" si="0"/>
        <v>0</v>
      </c>
      <c r="G7" s="5"/>
      <c r="H7" s="553">
        <f t="shared" si="1"/>
        <v>0</v>
      </c>
      <c r="I7" s="558"/>
      <c r="J7" s="558"/>
      <c r="K7" s="74"/>
      <c r="L7" s="239">
        <f>F7*0.1</f>
        <v>0</v>
      </c>
      <c r="M7" s="5"/>
      <c r="N7" s="5"/>
      <c r="O7" s="5"/>
      <c r="P7" s="442" t="s">
        <v>56</v>
      </c>
      <c r="Q7" s="1"/>
      <c r="R7" s="1"/>
      <c r="S7" s="1"/>
      <c r="T7" s="1"/>
      <c r="U7" s="1"/>
      <c r="V7" s="1"/>
      <c r="W7" s="1"/>
      <c r="X7" s="1"/>
      <c r="Y7" s="1"/>
      <c r="Z7" s="1"/>
      <c r="AA7" s="1"/>
      <c r="AB7" s="1"/>
      <c r="AC7" s="1"/>
    </row>
    <row r="8" spans="1:29" ht="16.5" thickBot="1" x14ac:dyDescent="0.3">
      <c r="A8" s="1"/>
      <c r="B8" s="111"/>
      <c r="C8" s="37"/>
      <c r="D8" s="62"/>
      <c r="E8" s="27"/>
      <c r="F8" s="626">
        <f t="shared" si="0"/>
        <v>0</v>
      </c>
      <c r="G8" s="5"/>
      <c r="H8" s="553">
        <f t="shared" si="1"/>
        <v>0</v>
      </c>
      <c r="I8" s="558"/>
      <c r="J8" s="558"/>
      <c r="K8" s="74"/>
      <c r="L8" s="239">
        <f>F8*0.1</f>
        <v>0</v>
      </c>
      <c r="M8" s="5"/>
      <c r="N8" s="5"/>
      <c r="O8" s="5"/>
      <c r="P8" s="442" t="s">
        <v>56</v>
      </c>
      <c r="Q8" s="1"/>
      <c r="R8" s="1"/>
      <c r="S8" s="1"/>
      <c r="T8" s="1"/>
      <c r="U8" s="1"/>
      <c r="V8" s="1"/>
      <c r="W8" s="1"/>
      <c r="X8" s="1"/>
      <c r="Y8" s="1"/>
      <c r="Z8" s="1"/>
      <c r="AA8" s="1"/>
      <c r="AB8" s="1"/>
      <c r="AC8" s="1"/>
    </row>
    <row r="9" spans="1:29" ht="16.5" thickBot="1" x14ac:dyDescent="0.3">
      <c r="A9" s="1"/>
      <c r="B9" s="111"/>
      <c r="C9" s="37"/>
      <c r="D9" s="62"/>
      <c r="E9" s="27"/>
      <c r="F9" s="626">
        <f t="shared" si="0"/>
        <v>0</v>
      </c>
      <c r="G9" s="5"/>
      <c r="H9" s="553">
        <f t="shared" si="1"/>
        <v>0</v>
      </c>
      <c r="I9" s="558"/>
      <c r="J9" s="558"/>
      <c r="K9" s="74"/>
      <c r="L9" s="239">
        <f>F9*0.1</f>
        <v>0</v>
      </c>
      <c r="M9" s="5"/>
      <c r="N9" s="5"/>
      <c r="O9" s="5"/>
      <c r="P9" s="442" t="s">
        <v>56</v>
      </c>
      <c r="Q9" s="1"/>
      <c r="R9" s="1"/>
      <c r="S9" s="1"/>
      <c r="T9" s="1"/>
      <c r="U9" s="1"/>
      <c r="V9" s="1"/>
      <c r="W9" s="1"/>
      <c r="X9" s="1"/>
      <c r="Y9" s="1"/>
      <c r="Z9" s="1"/>
      <c r="AA9" s="1"/>
      <c r="AB9" s="1"/>
      <c r="AC9" s="1"/>
    </row>
    <row r="10" spans="1:29" ht="16.5" thickBot="1" x14ac:dyDescent="0.3">
      <c r="A10" s="1"/>
      <c r="B10" s="113"/>
      <c r="C10" s="36"/>
      <c r="D10" s="114"/>
      <c r="E10" s="26"/>
      <c r="F10" s="626">
        <f t="shared" si="0"/>
        <v>0</v>
      </c>
      <c r="G10" s="5"/>
      <c r="H10" s="553">
        <f t="shared" si="1"/>
        <v>0</v>
      </c>
      <c r="I10" s="558"/>
      <c r="J10" s="558"/>
      <c r="K10" s="74"/>
      <c r="L10" s="240"/>
      <c r="M10" s="5"/>
      <c r="N10" s="5"/>
      <c r="O10" s="5"/>
      <c r="P10" s="442" t="s">
        <v>56</v>
      </c>
      <c r="Q10" s="1"/>
      <c r="R10" s="1"/>
      <c r="S10" s="1"/>
      <c r="T10" s="1"/>
      <c r="U10" s="1"/>
      <c r="V10" s="1"/>
      <c r="W10" s="1"/>
      <c r="X10" s="1"/>
      <c r="Y10" s="1"/>
      <c r="Z10" s="1"/>
      <c r="AA10" s="1"/>
      <c r="AB10" s="1"/>
      <c r="AC10" s="1"/>
    </row>
    <row r="11" spans="1:29" ht="16.5" thickBot="1" x14ac:dyDescent="0.3">
      <c r="A11" s="1"/>
      <c r="B11" s="111"/>
      <c r="C11" s="37"/>
      <c r="D11" s="62"/>
      <c r="E11" s="27"/>
      <c r="F11" s="626">
        <f t="shared" si="0"/>
        <v>0</v>
      </c>
      <c r="G11" s="5"/>
      <c r="H11" s="553">
        <f t="shared" si="1"/>
        <v>0</v>
      </c>
      <c r="I11" s="558"/>
      <c r="J11" s="558"/>
      <c r="K11" s="74"/>
      <c r="L11" s="240"/>
      <c r="M11" s="5"/>
      <c r="N11" s="5"/>
      <c r="O11" s="5"/>
      <c r="P11" s="442" t="s">
        <v>56</v>
      </c>
      <c r="Q11" s="1"/>
      <c r="R11" s="1"/>
      <c r="S11" s="1"/>
      <c r="T11" s="1"/>
      <c r="U11" s="1"/>
      <c r="V11" s="1"/>
      <c r="W11" s="1"/>
      <c r="X11" s="1"/>
      <c r="Y11" s="1"/>
      <c r="Z11" s="1"/>
      <c r="AA11" s="1"/>
      <c r="AB11" s="1"/>
      <c r="AC11" s="1"/>
    </row>
    <row r="12" spans="1:29" ht="16.5" thickBot="1" x14ac:dyDescent="0.3">
      <c r="A12" s="1"/>
      <c r="B12" s="111"/>
      <c r="C12" s="37"/>
      <c r="D12" s="62"/>
      <c r="E12" s="27"/>
      <c r="F12" s="626">
        <f t="shared" si="0"/>
        <v>0</v>
      </c>
      <c r="G12" s="5"/>
      <c r="H12" s="553">
        <f t="shared" si="1"/>
        <v>0</v>
      </c>
      <c r="I12" s="558"/>
      <c r="J12" s="558"/>
      <c r="K12" s="74"/>
      <c r="L12" s="240"/>
      <c r="M12" s="5"/>
      <c r="N12" s="5"/>
      <c r="O12" s="5"/>
      <c r="P12" s="442" t="s">
        <v>56</v>
      </c>
      <c r="Q12" s="1"/>
      <c r="R12" s="1"/>
      <c r="S12" s="1"/>
      <c r="T12" s="1"/>
      <c r="U12" s="1"/>
      <c r="V12" s="1"/>
      <c r="W12" s="1"/>
      <c r="X12" s="1"/>
      <c r="Y12" s="1"/>
      <c r="Z12" s="1"/>
      <c r="AA12" s="1"/>
      <c r="AB12" s="1"/>
      <c r="AC12" s="1"/>
    </row>
    <row r="13" spans="1:29" ht="16.5" thickBot="1" x14ac:dyDescent="0.3">
      <c r="A13" s="1"/>
      <c r="B13" s="111"/>
      <c r="C13" s="37"/>
      <c r="D13" s="62"/>
      <c r="E13" s="27"/>
      <c r="F13" s="626">
        <f t="shared" si="0"/>
        <v>0</v>
      </c>
      <c r="G13" s="5"/>
      <c r="H13" s="553">
        <f t="shared" si="1"/>
        <v>0</v>
      </c>
      <c r="I13" s="559"/>
      <c r="J13" s="559"/>
      <c r="K13" s="560"/>
      <c r="L13" s="240"/>
      <c r="M13" s="5"/>
      <c r="N13" s="5"/>
      <c r="O13" s="5"/>
      <c r="P13" s="442" t="s">
        <v>56</v>
      </c>
      <c r="Q13" s="1"/>
      <c r="R13" s="1"/>
      <c r="S13" s="1"/>
      <c r="T13" s="1"/>
      <c r="U13" s="1"/>
      <c r="V13" s="1"/>
      <c r="W13" s="1"/>
      <c r="X13" s="1"/>
      <c r="Y13" s="1"/>
      <c r="Z13" s="1"/>
      <c r="AA13" s="1"/>
      <c r="AB13" s="1"/>
      <c r="AC13" s="1"/>
    </row>
    <row r="14" spans="1:29" ht="16.5" thickBot="1" x14ac:dyDescent="0.3">
      <c r="A14" s="1"/>
      <c r="B14" s="111"/>
      <c r="C14" s="37"/>
      <c r="D14" s="62"/>
      <c r="E14" s="27"/>
      <c r="F14" s="626">
        <f t="shared" si="0"/>
        <v>0</v>
      </c>
      <c r="G14" s="5"/>
      <c r="H14" s="553">
        <f t="shared" si="1"/>
        <v>0</v>
      </c>
      <c r="I14" s="558"/>
      <c r="J14" s="558"/>
      <c r="K14" s="74"/>
      <c r="L14" s="241"/>
      <c r="M14" s="5"/>
      <c r="N14" s="5"/>
      <c r="O14" s="5"/>
      <c r="P14" s="442" t="s">
        <v>56</v>
      </c>
      <c r="Q14" s="1"/>
      <c r="R14" s="1"/>
      <c r="S14" s="1"/>
      <c r="T14" s="1"/>
      <c r="U14" s="1"/>
      <c r="V14" s="1"/>
      <c r="W14" s="1"/>
      <c r="X14" s="1"/>
      <c r="Y14" s="1"/>
      <c r="Z14" s="1"/>
      <c r="AA14" s="1"/>
      <c r="AB14" s="1"/>
      <c r="AC14" s="1"/>
    </row>
    <row r="15" spans="1:29" ht="40.15" customHeight="1" x14ac:dyDescent="0.2">
      <c r="A15" s="1"/>
      <c r="B15" s="3215" t="s">
        <v>761</v>
      </c>
      <c r="C15" s="3216"/>
      <c r="D15" s="3216"/>
      <c r="E15" s="3216"/>
      <c r="F15" s="3217"/>
      <c r="G15" s="5"/>
      <c r="H15" s="3218" t="s">
        <v>757</v>
      </c>
      <c r="I15" s="3219"/>
      <c r="J15" s="3219"/>
      <c r="K15" s="3219"/>
      <c r="L15" s="3220" t="s">
        <v>296</v>
      </c>
      <c r="M15" s="5"/>
      <c r="N15" s="5"/>
      <c r="O15" s="5"/>
      <c r="P15" s="442" t="s">
        <v>56</v>
      </c>
      <c r="Q15" s="1"/>
      <c r="R15" s="1"/>
      <c r="S15" s="1"/>
      <c r="T15" s="1"/>
      <c r="U15" s="1"/>
      <c r="V15" s="1"/>
      <c r="W15" s="1"/>
      <c r="X15" s="1"/>
      <c r="Y15" s="1"/>
      <c r="Z15" s="1"/>
      <c r="AA15" s="1"/>
      <c r="AB15" s="1"/>
      <c r="AC15" s="1"/>
    </row>
    <row r="16" spans="1:29" ht="54.6" customHeight="1" thickBot="1" x14ac:dyDescent="0.25">
      <c r="A16" s="1"/>
      <c r="B16" s="1688" t="s">
        <v>97</v>
      </c>
      <c r="C16" s="1688" t="s">
        <v>754</v>
      </c>
      <c r="D16" s="1688" t="s">
        <v>755</v>
      </c>
      <c r="E16" s="1688" t="s">
        <v>756</v>
      </c>
      <c r="F16" s="1688" t="s">
        <v>101</v>
      </c>
      <c r="G16" s="5"/>
      <c r="H16" s="3218"/>
      <c r="I16" s="3219"/>
      <c r="J16" s="3219"/>
      <c r="K16" s="3219"/>
      <c r="L16" s="3220"/>
      <c r="M16" s="5"/>
      <c r="N16" s="5"/>
      <c r="O16" s="5"/>
      <c r="P16" s="442"/>
      <c r="Q16" s="1"/>
      <c r="R16" s="1"/>
      <c r="S16" s="1"/>
      <c r="T16" s="1"/>
      <c r="U16" s="1"/>
      <c r="V16" s="1"/>
      <c r="W16" s="1"/>
      <c r="X16" s="1"/>
      <c r="Y16" s="1"/>
      <c r="Z16" s="1"/>
      <c r="AA16" s="1"/>
      <c r="AB16" s="1"/>
      <c r="AC16" s="1"/>
    </row>
    <row r="17" spans="1:58" ht="16.5" thickBot="1" x14ac:dyDescent="0.3">
      <c r="A17" s="1"/>
      <c r="B17" s="113" t="s">
        <v>791</v>
      </c>
      <c r="C17" s="36"/>
      <c r="D17" s="114">
        <v>10000</v>
      </c>
      <c r="E17" s="26">
        <v>8</v>
      </c>
      <c r="F17" s="1692">
        <f t="shared" si="0"/>
        <v>1125</v>
      </c>
      <c r="G17" s="5"/>
      <c r="H17" s="553" t="str">
        <f t="shared" ref="H17:H22" si="2">B17</f>
        <v>Refroma do trator</v>
      </c>
      <c r="I17" s="558"/>
      <c r="J17" s="558"/>
      <c r="K17" s="74"/>
      <c r="L17" s="240"/>
      <c r="M17" s="5"/>
      <c r="N17" s="5"/>
      <c r="O17" s="5"/>
      <c r="P17" s="442" t="s">
        <v>56</v>
      </c>
      <c r="Q17" s="1"/>
      <c r="R17" s="1"/>
      <c r="S17" s="1"/>
      <c r="T17" s="1"/>
      <c r="U17" s="1"/>
      <c r="V17" s="1"/>
      <c r="W17" s="1"/>
      <c r="X17" s="1"/>
      <c r="Y17" s="1"/>
      <c r="Z17" s="1"/>
      <c r="AA17" s="1"/>
      <c r="AB17" s="1"/>
      <c r="AC17" s="1"/>
    </row>
    <row r="18" spans="1:58" ht="16.5" thickBot="1" x14ac:dyDescent="0.3">
      <c r="A18" s="1"/>
      <c r="B18" s="111"/>
      <c r="C18" s="37"/>
      <c r="D18" s="62"/>
      <c r="E18" s="27"/>
      <c r="F18" s="1692">
        <f t="shared" si="0"/>
        <v>0</v>
      </c>
      <c r="G18" s="5"/>
      <c r="H18" s="553">
        <f t="shared" si="2"/>
        <v>0</v>
      </c>
      <c r="I18" s="559"/>
      <c r="J18" s="559"/>
      <c r="K18" s="560"/>
      <c r="L18" s="240"/>
      <c r="M18" s="5"/>
      <c r="N18" s="5"/>
      <c r="O18" s="5"/>
      <c r="P18" s="442"/>
      <c r="Q18" s="1"/>
      <c r="R18" s="1"/>
      <c r="S18" s="1"/>
      <c r="T18" s="1"/>
      <c r="U18" s="1"/>
      <c r="V18" s="1"/>
      <c r="W18" s="1"/>
      <c r="X18" s="1"/>
      <c r="Y18" s="1"/>
      <c r="Z18" s="1"/>
      <c r="AA18" s="1"/>
      <c r="AB18" s="1"/>
      <c r="AC18" s="1"/>
    </row>
    <row r="19" spans="1:58" ht="16.5" thickBot="1" x14ac:dyDescent="0.3">
      <c r="A19" s="1"/>
      <c r="B19" s="111"/>
      <c r="C19" s="37"/>
      <c r="D19" s="62"/>
      <c r="E19" s="27"/>
      <c r="F19" s="1692">
        <f t="shared" si="0"/>
        <v>0</v>
      </c>
      <c r="G19" s="5"/>
      <c r="H19" s="553">
        <f t="shared" si="2"/>
        <v>0</v>
      </c>
      <c r="I19" s="559"/>
      <c r="J19" s="559"/>
      <c r="K19" s="560"/>
      <c r="L19" s="240"/>
      <c r="M19" s="5"/>
      <c r="N19" s="5"/>
      <c r="O19" s="5"/>
      <c r="P19" s="442"/>
      <c r="Q19" s="1"/>
      <c r="R19" s="1"/>
      <c r="S19" s="1"/>
      <c r="T19" s="1"/>
      <c r="U19" s="1"/>
      <c r="V19" s="1"/>
      <c r="W19" s="1"/>
      <c r="X19" s="1"/>
      <c r="Y19" s="1"/>
      <c r="Z19" s="1"/>
      <c r="AA19" s="1"/>
      <c r="AB19" s="1"/>
      <c r="AC19" s="1"/>
    </row>
    <row r="20" spans="1:58" ht="16.5" thickBot="1" x14ac:dyDescent="0.3">
      <c r="A20" s="1"/>
      <c r="B20" s="111"/>
      <c r="C20" s="37"/>
      <c r="D20" s="62"/>
      <c r="E20" s="27"/>
      <c r="F20" s="1692">
        <f t="shared" si="0"/>
        <v>0</v>
      </c>
      <c r="G20" s="5"/>
      <c r="H20" s="553">
        <f t="shared" si="2"/>
        <v>0</v>
      </c>
      <c r="I20" s="559"/>
      <c r="J20" s="559"/>
      <c r="K20" s="560"/>
      <c r="L20" s="240"/>
      <c r="M20" s="5"/>
      <c r="N20" s="5"/>
      <c r="O20" s="5"/>
      <c r="P20" s="442" t="s">
        <v>56</v>
      </c>
      <c r="Q20" s="1"/>
      <c r="R20" s="1"/>
      <c r="S20" s="1"/>
      <c r="T20" s="1"/>
      <c r="U20" s="1"/>
      <c r="V20" s="1"/>
      <c r="W20" s="1"/>
      <c r="X20" s="1"/>
      <c r="Y20" s="1"/>
      <c r="Z20" s="1"/>
      <c r="AA20" s="1"/>
      <c r="AB20" s="1"/>
      <c r="AC20" s="1"/>
    </row>
    <row r="21" spans="1:58" ht="15.75" thickBot="1" x14ac:dyDescent="0.25">
      <c r="A21" s="1"/>
      <c r="B21" s="112"/>
      <c r="C21" s="37"/>
      <c r="D21" s="62"/>
      <c r="E21" s="27"/>
      <c r="F21" s="1692">
        <f t="shared" si="0"/>
        <v>0</v>
      </c>
      <c r="G21" s="5"/>
      <c r="H21" s="553">
        <f t="shared" si="2"/>
        <v>0</v>
      </c>
      <c r="I21" s="558"/>
      <c r="J21" s="558"/>
      <c r="K21" s="74"/>
      <c r="L21" s="240"/>
      <c r="M21" s="5"/>
      <c r="N21" s="5"/>
      <c r="O21" s="5"/>
      <c r="P21" s="442" t="s">
        <v>56</v>
      </c>
      <c r="Q21" s="1"/>
      <c r="R21" s="1"/>
      <c r="S21" s="1"/>
      <c r="T21" s="1"/>
      <c r="U21" s="1"/>
      <c r="V21" s="1"/>
      <c r="W21" s="1"/>
      <c r="X21" s="1"/>
      <c r="Y21" s="1"/>
      <c r="Z21" s="1"/>
      <c r="AA21" s="1"/>
      <c r="AB21" s="1"/>
      <c r="AC21" s="1"/>
    </row>
    <row r="22" spans="1:58" ht="15.75" thickBot="1" x14ac:dyDescent="0.25">
      <c r="A22" s="1"/>
      <c r="B22" s="112"/>
      <c r="C22" s="37"/>
      <c r="D22" s="62"/>
      <c r="E22" s="27">
        <v>1</v>
      </c>
      <c r="F22" s="1692">
        <f t="shared" si="0"/>
        <v>0</v>
      </c>
      <c r="G22" s="5"/>
      <c r="H22" s="553">
        <f t="shared" si="2"/>
        <v>0</v>
      </c>
      <c r="I22" s="559"/>
      <c r="J22" s="559"/>
      <c r="K22" s="560"/>
      <c r="L22" s="241"/>
      <c r="M22" s="5"/>
      <c r="N22" s="5"/>
      <c r="O22" s="5"/>
      <c r="P22" s="442" t="s">
        <v>56</v>
      </c>
      <c r="Q22" s="5"/>
      <c r="R22" s="5"/>
      <c r="S22" s="5"/>
      <c r="T22" s="5"/>
      <c r="U22" s="5"/>
      <c r="V22" s="5"/>
      <c r="W22" s="5"/>
      <c r="X22" s="1"/>
      <c r="Y22" s="1"/>
      <c r="Z22" s="1"/>
      <c r="AA22" s="1"/>
      <c r="AB22" s="1"/>
      <c r="AC22" s="1"/>
    </row>
    <row r="23" spans="1:58" ht="15.75" thickBot="1" x14ac:dyDescent="0.25">
      <c r="A23" s="1"/>
      <c r="B23" s="561"/>
      <c r="C23" s="562"/>
      <c r="D23" s="563">
        <f>SUM(D5:D22)</f>
        <v>110000</v>
      </c>
      <c r="E23" s="564"/>
      <c r="F23" s="565">
        <f>SUM(F17:F22)+SUM(F5:F14)</f>
        <v>2925</v>
      </c>
      <c r="G23" s="5"/>
      <c r="H23" s="153"/>
      <c r="I23" s="566"/>
      <c r="J23" s="566" t="s">
        <v>61</v>
      </c>
      <c r="K23" s="567"/>
      <c r="L23" s="568">
        <f>SUMIF(L5:L22,"&gt;0",L5:L22)</f>
        <v>0</v>
      </c>
      <c r="M23" s="5"/>
      <c r="N23" s="5"/>
      <c r="O23" s="5"/>
      <c r="P23" s="442" t="s">
        <v>56</v>
      </c>
      <c r="Q23" s="5"/>
      <c r="R23" s="5"/>
      <c r="S23" s="5"/>
      <c r="T23" s="5"/>
      <c r="U23" s="5"/>
      <c r="V23" s="5"/>
      <c r="W23" s="5"/>
      <c r="X23" s="1"/>
      <c r="Y23" s="1"/>
      <c r="Z23" s="1"/>
      <c r="AA23" s="1"/>
      <c r="AB23" s="1"/>
      <c r="AC23" s="1"/>
    </row>
    <row r="24" spans="1:58" ht="15.75" thickBot="1" x14ac:dyDescent="0.25">
      <c r="A24" s="1"/>
      <c r="B24" s="2"/>
      <c r="C24" s="15"/>
      <c r="D24" s="15"/>
      <c r="E24" s="15"/>
      <c r="F24" s="15"/>
      <c r="G24" s="5"/>
      <c r="H24" s="5"/>
      <c r="I24" s="5"/>
      <c r="J24" s="5"/>
      <c r="K24" s="5"/>
      <c r="L24" s="5"/>
      <c r="M24" s="25"/>
      <c r="N24" s="25"/>
      <c r="O24" s="25"/>
      <c r="P24" s="442" t="s">
        <v>56</v>
      </c>
      <c r="Q24" s="5"/>
      <c r="R24" s="5"/>
      <c r="S24" s="5"/>
      <c r="T24" s="5"/>
      <c r="U24" s="5"/>
      <c r="V24" s="5"/>
      <c r="W24" s="5"/>
      <c r="X24" s="1"/>
      <c r="Y24" s="1"/>
      <c r="Z24" s="1"/>
      <c r="AA24" s="1"/>
      <c r="AB24" s="1"/>
      <c r="AC24" s="1"/>
    </row>
    <row r="25" spans="1:58" ht="16.5" thickBot="1" x14ac:dyDescent="0.3">
      <c r="A25" s="1"/>
      <c r="B25" s="2837" t="s">
        <v>758</v>
      </c>
      <c r="C25" s="2838"/>
      <c r="D25" s="2838"/>
      <c r="E25" s="2838"/>
      <c r="F25" s="2838"/>
      <c r="G25" s="2838"/>
      <c r="H25" s="2838"/>
      <c r="I25" s="2838"/>
      <c r="J25" s="2838"/>
      <c r="K25" s="2838"/>
      <c r="L25" s="2838"/>
      <c r="M25" s="2839"/>
      <c r="N25" s="543"/>
      <c r="O25" s="569"/>
      <c r="P25" s="442" t="s">
        <v>56</v>
      </c>
      <c r="Q25" s="25"/>
      <c r="R25" s="25"/>
      <c r="S25" s="25"/>
      <c r="T25" s="25"/>
      <c r="U25" s="25"/>
      <c r="V25" s="25"/>
      <c r="W25" s="25"/>
      <c r="X25" s="24"/>
      <c r="Y25" s="24"/>
      <c r="Z25" s="24"/>
      <c r="AA25" s="24"/>
      <c r="AB25" s="24"/>
      <c r="AC25" s="24"/>
      <c r="AD25" s="24"/>
      <c r="AE25" s="24"/>
      <c r="AF25" s="24"/>
    </row>
    <row r="26" spans="1:58" ht="16.5" thickBot="1" x14ac:dyDescent="0.3">
      <c r="A26" s="1"/>
      <c r="B26" s="1701" t="str">
        <f t="shared" ref="B26:B36" si="3">B4</f>
        <v>Tipo</v>
      </c>
      <c r="C26" s="1702" t="str">
        <f>'C. MÁQ.'!C28</f>
        <v>LEITE</v>
      </c>
      <c r="D26" s="1702">
        <f>'C. MÁQ.'!D28</f>
        <v>0</v>
      </c>
      <c r="E26" s="1702">
        <f>'C. MÁQ.'!E28</f>
        <v>0</v>
      </c>
      <c r="F26" s="1702">
        <f>'C. MÁQ.'!F28</f>
        <v>0</v>
      </c>
      <c r="G26" s="1702">
        <f>'C. MÁQ.'!G28</f>
        <v>0</v>
      </c>
      <c r="H26" s="1702">
        <f>'C. MÁQ.'!H28</f>
        <v>0</v>
      </c>
      <c r="I26" s="1702">
        <f>'C. MÁQ.'!I28</f>
        <v>0</v>
      </c>
      <c r="J26" s="1702">
        <f>'C. MÁQ.'!J28</f>
        <v>0</v>
      </c>
      <c r="K26" s="1702">
        <f>'C. MÁQ.'!K28</f>
        <v>0</v>
      </c>
      <c r="L26" s="1702">
        <f>'C. MÁQ.'!L28</f>
        <v>0</v>
      </c>
      <c r="M26" s="1702">
        <f>'C. MÁQ.'!M28</f>
        <v>0</v>
      </c>
      <c r="N26" s="3208" t="s">
        <v>68</v>
      </c>
      <c r="O26" s="3209"/>
      <c r="P26" s="442" t="s">
        <v>56</v>
      </c>
      <c r="Q26" s="25"/>
      <c r="R26" s="25"/>
      <c r="S26" s="25"/>
      <c r="T26" s="25"/>
      <c r="U26" s="25"/>
      <c r="V26" s="25"/>
      <c r="W26" s="25"/>
      <c r="X26" s="24"/>
      <c r="Y26" s="24"/>
      <c r="Z26" s="24"/>
      <c r="AA26" s="24"/>
      <c r="AB26" s="24"/>
      <c r="AC26" s="24"/>
      <c r="AD26" s="24"/>
      <c r="AE26" s="24"/>
      <c r="AF26" s="24"/>
      <c r="AG26" s="570">
        <f>'C. MÁQ.'!AH28</f>
        <v>0</v>
      </c>
      <c r="AH26" s="570">
        <f>'C. MÁQ.'!AI28</f>
        <v>0</v>
      </c>
      <c r="AI26" s="570">
        <f>'C. MÁQ.'!AJ28</f>
        <v>0</v>
      </c>
      <c r="AJ26" s="570">
        <f>'C. MÁQ.'!AK28</f>
        <v>0</v>
      </c>
      <c r="AK26" s="570">
        <f>'C. MÁQ.'!AL28</f>
        <v>0</v>
      </c>
      <c r="AL26" s="570">
        <f>'C. MÁQ.'!AM28</f>
        <v>0</v>
      </c>
      <c r="AM26" s="570">
        <f>'C. MÁQ.'!AN28</f>
        <v>0</v>
      </c>
      <c r="AN26" s="570">
        <f>'C. MÁQ.'!AO28</f>
        <v>0</v>
      </c>
      <c r="AO26" s="570">
        <f>'C. MÁQ.'!AP28</f>
        <v>0</v>
      </c>
      <c r="AP26" s="570">
        <f>'C. MÁQ.'!AQ28</f>
        <v>0</v>
      </c>
      <c r="AQ26" s="570">
        <f>'C. MÁQ.'!AR28</f>
        <v>0</v>
      </c>
      <c r="AR26" s="570">
        <f>'C. MÁQ.'!AS28</f>
        <v>0</v>
      </c>
      <c r="AS26" s="570">
        <f>'C. MÁQ.'!AT28</f>
        <v>0</v>
      </c>
      <c r="AT26" s="570">
        <f>'C. MÁQ.'!AU28</f>
        <v>0</v>
      </c>
      <c r="AU26" s="570">
        <f>'C. MÁQ.'!AV28</f>
        <v>0</v>
      </c>
      <c r="AV26" s="570">
        <f>'C. MÁQ.'!AW28</f>
        <v>0</v>
      </c>
      <c r="AW26" s="570">
        <f>'C. MÁQ.'!AX28</f>
        <v>0</v>
      </c>
      <c r="AX26" s="570">
        <f>'C. MÁQ.'!AY28</f>
        <v>0</v>
      </c>
      <c r="AY26" s="570">
        <f>'C. MÁQ.'!AZ28</f>
        <v>0</v>
      </c>
      <c r="AZ26" s="24"/>
      <c r="BA26" s="24"/>
      <c r="BB26" s="24"/>
      <c r="BC26" s="24"/>
      <c r="BD26" s="24"/>
      <c r="BE26" s="24"/>
      <c r="BF26" s="24"/>
    </row>
    <row r="27" spans="1:58" ht="16.5" thickBot="1" x14ac:dyDescent="0.3">
      <c r="A27" s="1"/>
      <c r="B27" s="571" t="str">
        <f t="shared" si="3"/>
        <v>Casa sede</v>
      </c>
      <c r="C27" s="63">
        <v>50</v>
      </c>
      <c r="D27" s="63"/>
      <c r="E27" s="63"/>
      <c r="F27" s="63"/>
      <c r="G27" s="63">
        <v>50</v>
      </c>
      <c r="H27" s="63"/>
      <c r="I27" s="63"/>
      <c r="J27" s="63"/>
      <c r="K27" s="63"/>
      <c r="L27" s="63"/>
      <c r="M27" s="127"/>
      <c r="N27" s="572">
        <f>SUM(C27:M27)</f>
        <v>100</v>
      </c>
      <c r="O27" s="573" t="b">
        <f t="shared" ref="O27:O36" si="4">IF(F5&gt;0,N27=100,IF(F5=0,N27=0))</f>
        <v>1</v>
      </c>
      <c r="P27" s="442" t="s">
        <v>56</v>
      </c>
      <c r="Q27" s="25"/>
      <c r="R27" s="25"/>
      <c r="S27" s="25"/>
      <c r="T27" s="25"/>
      <c r="U27" s="25"/>
      <c r="V27" s="25"/>
      <c r="W27" s="25"/>
      <c r="X27" s="24"/>
      <c r="Y27" s="24"/>
      <c r="Z27" s="24"/>
      <c r="AA27" s="24"/>
      <c r="AB27" s="24"/>
      <c r="AC27" s="24"/>
      <c r="AD27" s="24"/>
      <c r="AE27" s="24"/>
      <c r="AF27" s="24"/>
    </row>
    <row r="28" spans="1:58" ht="16.5" thickBot="1" x14ac:dyDescent="0.3">
      <c r="A28" s="1"/>
      <c r="B28" s="574">
        <f t="shared" si="3"/>
        <v>0</v>
      </c>
      <c r="C28" s="63">
        <v>100</v>
      </c>
      <c r="D28" s="63"/>
      <c r="E28" s="63"/>
      <c r="F28" s="63"/>
      <c r="G28" s="63"/>
      <c r="H28" s="63"/>
      <c r="I28" s="63"/>
      <c r="J28" s="63"/>
      <c r="K28" s="63"/>
      <c r="L28" s="63"/>
      <c r="M28" s="127"/>
      <c r="N28" s="575">
        <f t="shared" ref="N28:N46" si="5">SUM(C28:M28)</f>
        <v>100</v>
      </c>
      <c r="O28" s="573" t="b">
        <f t="shared" si="4"/>
        <v>0</v>
      </c>
      <c r="P28" s="442" t="s">
        <v>56</v>
      </c>
      <c r="Q28" s="25"/>
      <c r="R28" s="25"/>
      <c r="S28" s="25"/>
      <c r="T28" s="25"/>
      <c r="U28" s="25"/>
      <c r="V28" s="25"/>
      <c r="W28" s="25"/>
      <c r="X28" s="24"/>
      <c r="Y28" s="24"/>
      <c r="Z28" s="24"/>
      <c r="AA28" s="24"/>
      <c r="AB28" s="24"/>
      <c r="AC28" s="24"/>
      <c r="AD28" s="24"/>
      <c r="AE28" s="24"/>
      <c r="AF28" s="24"/>
    </row>
    <row r="29" spans="1:58" ht="16.5" thickBot="1" x14ac:dyDescent="0.3">
      <c r="A29" s="1"/>
      <c r="B29" s="574">
        <f t="shared" si="3"/>
        <v>0</v>
      </c>
      <c r="C29" s="63">
        <v>100</v>
      </c>
      <c r="D29" s="63"/>
      <c r="E29" s="63"/>
      <c r="F29" s="63"/>
      <c r="G29" s="63"/>
      <c r="H29" s="63"/>
      <c r="I29" s="63"/>
      <c r="J29" s="63"/>
      <c r="K29" s="63"/>
      <c r="L29" s="63"/>
      <c r="M29" s="127"/>
      <c r="N29" s="575">
        <f t="shared" si="5"/>
        <v>100</v>
      </c>
      <c r="O29" s="573" t="b">
        <f t="shared" si="4"/>
        <v>0</v>
      </c>
      <c r="P29" s="442" t="s">
        <v>56</v>
      </c>
      <c r="Q29" s="25"/>
      <c r="R29" s="25"/>
      <c r="S29" s="25"/>
      <c r="T29" s="25"/>
      <c r="U29" s="25"/>
      <c r="V29" s="25"/>
      <c r="W29" s="25"/>
      <c r="X29" s="24"/>
      <c r="Y29" s="24"/>
      <c r="Z29" s="24"/>
      <c r="AA29" s="24"/>
      <c r="AB29" s="24"/>
      <c r="AC29" s="24"/>
      <c r="AD29" s="24"/>
      <c r="AE29" s="24"/>
      <c r="AF29" s="24"/>
    </row>
    <row r="30" spans="1:58" ht="16.5" thickBot="1" x14ac:dyDescent="0.3">
      <c r="A30" s="1"/>
      <c r="B30" s="574">
        <f t="shared" si="3"/>
        <v>0</v>
      </c>
      <c r="C30" s="63">
        <v>100</v>
      </c>
      <c r="D30" s="63"/>
      <c r="E30" s="63"/>
      <c r="F30" s="63"/>
      <c r="G30" s="63"/>
      <c r="H30" s="63"/>
      <c r="I30" s="63"/>
      <c r="J30" s="63"/>
      <c r="K30" s="63"/>
      <c r="L30" s="63"/>
      <c r="M30" s="127"/>
      <c r="N30" s="575">
        <f t="shared" si="5"/>
        <v>100</v>
      </c>
      <c r="O30" s="573" t="b">
        <f t="shared" si="4"/>
        <v>0</v>
      </c>
      <c r="P30" s="442" t="s">
        <v>56</v>
      </c>
      <c r="Q30" s="25"/>
      <c r="R30" s="25"/>
      <c r="S30" s="25"/>
      <c r="T30" s="25"/>
      <c r="U30" s="25"/>
      <c r="V30" s="25"/>
      <c r="W30" s="25"/>
      <c r="X30" s="24"/>
      <c r="Y30" s="24"/>
      <c r="Z30" s="24"/>
      <c r="AA30" s="24"/>
      <c r="AB30" s="24"/>
      <c r="AC30" s="24"/>
      <c r="AD30" s="24"/>
      <c r="AE30" s="24"/>
      <c r="AF30" s="24"/>
    </row>
    <row r="31" spans="1:58" ht="16.5" thickBot="1" x14ac:dyDescent="0.3">
      <c r="A31" s="1"/>
      <c r="B31" s="574">
        <f t="shared" si="3"/>
        <v>0</v>
      </c>
      <c r="C31" s="63">
        <v>100</v>
      </c>
      <c r="D31" s="63"/>
      <c r="E31" s="63"/>
      <c r="F31" s="63"/>
      <c r="G31" s="63"/>
      <c r="H31" s="63"/>
      <c r="I31" s="63"/>
      <c r="J31" s="63"/>
      <c r="K31" s="63"/>
      <c r="L31" s="63"/>
      <c r="M31" s="127"/>
      <c r="N31" s="575">
        <f t="shared" si="5"/>
        <v>100</v>
      </c>
      <c r="O31" s="573" t="b">
        <f t="shared" si="4"/>
        <v>0</v>
      </c>
      <c r="P31" s="442" t="s">
        <v>56</v>
      </c>
      <c r="Q31" s="25"/>
      <c r="R31" s="25"/>
      <c r="S31" s="25"/>
      <c r="T31" s="25"/>
      <c r="U31" s="25"/>
      <c r="V31" s="25"/>
      <c r="W31" s="25"/>
      <c r="X31" s="24"/>
      <c r="Y31" s="24"/>
      <c r="Z31" s="24"/>
      <c r="AA31" s="24"/>
      <c r="AB31" s="24"/>
      <c r="AC31" s="24"/>
      <c r="AD31" s="24"/>
      <c r="AE31" s="24"/>
      <c r="AF31" s="24"/>
    </row>
    <row r="32" spans="1:58" ht="16.5" thickBot="1" x14ac:dyDescent="0.3">
      <c r="A32" s="1"/>
      <c r="B32" s="574">
        <f t="shared" si="3"/>
        <v>0</v>
      </c>
      <c r="C32" s="63"/>
      <c r="D32" s="63"/>
      <c r="E32" s="63"/>
      <c r="F32" s="63"/>
      <c r="G32" s="63"/>
      <c r="H32" s="63"/>
      <c r="I32" s="63"/>
      <c r="J32" s="63"/>
      <c r="K32" s="63"/>
      <c r="L32" s="63"/>
      <c r="M32" s="127"/>
      <c r="N32" s="575">
        <f t="shared" si="5"/>
        <v>0</v>
      </c>
      <c r="O32" s="573" t="b">
        <f t="shared" si="4"/>
        <v>1</v>
      </c>
      <c r="P32" s="442" t="s">
        <v>56</v>
      </c>
      <c r="Q32" s="25"/>
      <c r="R32" s="25"/>
      <c r="S32" s="25"/>
      <c r="T32" s="25"/>
      <c r="U32" s="25"/>
      <c r="V32" s="25"/>
      <c r="W32" s="25"/>
      <c r="X32" s="24"/>
      <c r="Y32" s="24"/>
      <c r="Z32" s="24"/>
      <c r="AA32" s="24"/>
      <c r="AB32" s="24"/>
      <c r="AC32" s="24"/>
      <c r="AD32" s="24"/>
      <c r="AE32" s="24"/>
      <c r="AF32" s="24"/>
    </row>
    <row r="33" spans="1:32" ht="16.5" thickBot="1" x14ac:dyDescent="0.3">
      <c r="A33" s="1"/>
      <c r="B33" s="574">
        <f t="shared" si="3"/>
        <v>0</v>
      </c>
      <c r="C33" s="63"/>
      <c r="D33" s="63"/>
      <c r="E33" s="63"/>
      <c r="F33" s="63"/>
      <c r="G33" s="63"/>
      <c r="H33" s="63"/>
      <c r="I33" s="63"/>
      <c r="J33" s="63"/>
      <c r="K33" s="63"/>
      <c r="L33" s="63"/>
      <c r="M33" s="127"/>
      <c r="N33" s="575">
        <f t="shared" si="5"/>
        <v>0</v>
      </c>
      <c r="O33" s="573" t="b">
        <f t="shared" si="4"/>
        <v>1</v>
      </c>
      <c r="P33" s="442" t="s">
        <v>56</v>
      </c>
      <c r="Q33" s="25"/>
      <c r="R33" s="25"/>
      <c r="S33" s="25"/>
      <c r="T33" s="25"/>
      <c r="U33" s="25"/>
      <c r="V33" s="25"/>
      <c r="W33" s="25"/>
      <c r="X33" s="24"/>
      <c r="Y33" s="24"/>
      <c r="Z33" s="24"/>
      <c r="AA33" s="24"/>
      <c r="AB33" s="24"/>
      <c r="AC33" s="24"/>
      <c r="AD33" s="24"/>
      <c r="AE33" s="24"/>
      <c r="AF33" s="24"/>
    </row>
    <row r="34" spans="1:32" ht="16.5" thickBot="1" x14ac:dyDescent="0.3">
      <c r="A34" s="1"/>
      <c r="B34" s="574">
        <f t="shared" si="3"/>
        <v>0</v>
      </c>
      <c r="C34" s="63"/>
      <c r="D34" s="63"/>
      <c r="E34" s="63"/>
      <c r="F34" s="63"/>
      <c r="G34" s="63"/>
      <c r="H34" s="63"/>
      <c r="I34" s="63"/>
      <c r="J34" s="63"/>
      <c r="K34" s="63"/>
      <c r="L34" s="63"/>
      <c r="M34" s="127"/>
      <c r="N34" s="575">
        <f t="shared" si="5"/>
        <v>0</v>
      </c>
      <c r="O34" s="573" t="b">
        <f t="shared" si="4"/>
        <v>1</v>
      </c>
      <c r="P34" s="442" t="s">
        <v>56</v>
      </c>
      <c r="Q34" s="25"/>
      <c r="R34" s="25"/>
      <c r="S34" s="25"/>
      <c r="T34" s="25"/>
      <c r="U34" s="25"/>
      <c r="V34" s="25"/>
      <c r="W34" s="25"/>
      <c r="X34" s="24"/>
      <c r="Y34" s="24"/>
      <c r="Z34" s="24"/>
      <c r="AA34" s="24"/>
      <c r="AB34" s="24"/>
      <c r="AC34" s="24"/>
      <c r="AD34" s="24"/>
      <c r="AE34" s="24"/>
      <c r="AF34" s="24"/>
    </row>
    <row r="35" spans="1:32" ht="16.5" thickBot="1" x14ac:dyDescent="0.3">
      <c r="A35" s="1"/>
      <c r="B35" s="574">
        <f t="shared" si="3"/>
        <v>0</v>
      </c>
      <c r="C35" s="63"/>
      <c r="D35" s="63"/>
      <c r="E35" s="63"/>
      <c r="F35" s="63"/>
      <c r="G35" s="63"/>
      <c r="H35" s="63"/>
      <c r="I35" s="63"/>
      <c r="J35" s="63"/>
      <c r="K35" s="63"/>
      <c r="L35" s="63"/>
      <c r="M35" s="127"/>
      <c r="N35" s="575">
        <f t="shared" si="5"/>
        <v>0</v>
      </c>
      <c r="O35" s="573" t="b">
        <f t="shared" si="4"/>
        <v>1</v>
      </c>
      <c r="P35" s="442" t="s">
        <v>56</v>
      </c>
      <c r="Q35" s="25"/>
      <c r="R35" s="25"/>
      <c r="S35" s="25"/>
      <c r="T35" s="25"/>
      <c r="U35" s="25"/>
      <c r="V35" s="25"/>
      <c r="W35" s="25"/>
      <c r="X35" s="24"/>
      <c r="Y35" s="24"/>
      <c r="Z35" s="24"/>
      <c r="AA35" s="24"/>
      <c r="AB35" s="24"/>
      <c r="AC35" s="24"/>
      <c r="AD35" s="24"/>
      <c r="AE35" s="24"/>
      <c r="AF35" s="24"/>
    </row>
    <row r="36" spans="1:32" ht="16.5" thickBot="1" x14ac:dyDescent="0.3">
      <c r="A36" s="1"/>
      <c r="B36" s="574">
        <f t="shared" si="3"/>
        <v>0</v>
      </c>
      <c r="C36" s="63"/>
      <c r="D36" s="63"/>
      <c r="E36" s="63"/>
      <c r="F36" s="63"/>
      <c r="G36" s="63"/>
      <c r="H36" s="63"/>
      <c r="I36" s="63"/>
      <c r="J36" s="63"/>
      <c r="K36" s="63"/>
      <c r="L36" s="63"/>
      <c r="M36" s="127"/>
      <c r="N36" s="575">
        <f t="shared" si="5"/>
        <v>0</v>
      </c>
      <c r="O36" s="573" t="b">
        <f t="shared" si="4"/>
        <v>1</v>
      </c>
      <c r="P36" s="442" t="s">
        <v>56</v>
      </c>
      <c r="Q36" s="25"/>
      <c r="R36" s="25"/>
      <c r="S36" s="25"/>
      <c r="T36" s="25"/>
      <c r="U36" s="25"/>
      <c r="V36" s="25"/>
      <c r="W36" s="25"/>
      <c r="X36" s="24"/>
      <c r="Y36" s="24"/>
      <c r="Z36" s="24"/>
      <c r="AA36" s="24"/>
      <c r="AB36" s="24"/>
      <c r="AC36" s="24"/>
      <c r="AD36" s="24"/>
      <c r="AE36" s="24"/>
      <c r="AF36" s="24"/>
    </row>
    <row r="37" spans="1:32" ht="16.5" thickBot="1" x14ac:dyDescent="0.3">
      <c r="A37" s="1"/>
      <c r="B37" s="2837" t="s">
        <v>760</v>
      </c>
      <c r="C37" s="3206"/>
      <c r="D37" s="3206"/>
      <c r="E37" s="3206"/>
      <c r="F37" s="3206"/>
      <c r="G37" s="3206"/>
      <c r="H37" s="3206"/>
      <c r="I37" s="3206"/>
      <c r="J37" s="3206"/>
      <c r="K37" s="3206"/>
      <c r="L37" s="3206"/>
      <c r="M37" s="3207"/>
      <c r="N37" s="575"/>
      <c r="O37" s="573"/>
      <c r="P37" s="442" t="s">
        <v>56</v>
      </c>
      <c r="Q37" s="25"/>
      <c r="R37" s="25"/>
      <c r="S37" s="25"/>
      <c r="T37" s="25"/>
      <c r="U37" s="25"/>
      <c r="V37" s="25"/>
      <c r="W37" s="25"/>
      <c r="X37" s="24"/>
      <c r="Y37" s="24"/>
      <c r="Z37" s="24"/>
      <c r="AA37" s="24"/>
      <c r="AB37" s="24"/>
      <c r="AC37" s="24"/>
      <c r="AD37" s="24"/>
      <c r="AE37" s="24"/>
      <c r="AF37" s="24"/>
    </row>
    <row r="38" spans="1:32" ht="16.5" thickBot="1" x14ac:dyDescent="0.3">
      <c r="A38" s="1"/>
      <c r="B38" s="1689" t="s">
        <v>759</v>
      </c>
      <c r="C38" s="1703" t="str">
        <f>C26</f>
        <v>LEITE</v>
      </c>
      <c r="D38" s="1703">
        <f t="shared" ref="D38:M38" si="6">D26</f>
        <v>0</v>
      </c>
      <c r="E38" s="1703">
        <f t="shared" si="6"/>
        <v>0</v>
      </c>
      <c r="F38" s="1703">
        <f t="shared" si="6"/>
        <v>0</v>
      </c>
      <c r="G38" s="1703">
        <f t="shared" si="6"/>
        <v>0</v>
      </c>
      <c r="H38" s="1703">
        <f t="shared" si="6"/>
        <v>0</v>
      </c>
      <c r="I38" s="1703">
        <f t="shared" si="6"/>
        <v>0</v>
      </c>
      <c r="J38" s="1703">
        <f t="shared" si="6"/>
        <v>0</v>
      </c>
      <c r="K38" s="1703">
        <f t="shared" si="6"/>
        <v>0</v>
      </c>
      <c r="L38" s="1703">
        <f t="shared" si="6"/>
        <v>0</v>
      </c>
      <c r="M38" s="1703">
        <f t="shared" si="6"/>
        <v>0</v>
      </c>
      <c r="N38" s="575"/>
      <c r="O38" s="573"/>
      <c r="P38" s="442"/>
      <c r="Q38" s="25"/>
      <c r="R38" s="25"/>
      <c r="S38" s="25"/>
      <c r="T38" s="25"/>
      <c r="U38" s="25"/>
      <c r="V38" s="25"/>
      <c r="W38" s="25"/>
      <c r="X38" s="24"/>
      <c r="Y38" s="24"/>
      <c r="Z38" s="24"/>
      <c r="AA38" s="24"/>
      <c r="AB38" s="24"/>
      <c r="AC38" s="24"/>
      <c r="AD38" s="24"/>
      <c r="AE38" s="24"/>
      <c r="AF38" s="24"/>
    </row>
    <row r="39" spans="1:32" ht="16.5" thickBot="1" x14ac:dyDescent="0.3">
      <c r="A39" s="1"/>
      <c r="B39" s="574" t="str">
        <f t="shared" ref="B39:B44" si="7">B17</f>
        <v>Refroma do trator</v>
      </c>
      <c r="C39" s="63">
        <v>50</v>
      </c>
      <c r="D39" s="63"/>
      <c r="E39" s="63"/>
      <c r="F39" s="63"/>
      <c r="G39" s="63">
        <v>25</v>
      </c>
      <c r="H39" s="63"/>
      <c r="I39" s="63"/>
      <c r="J39" s="63"/>
      <c r="K39" s="63"/>
      <c r="L39" s="63">
        <v>25</v>
      </c>
      <c r="M39" s="27"/>
      <c r="N39" s="575">
        <f t="shared" si="5"/>
        <v>100</v>
      </c>
      <c r="O39" s="573" t="b">
        <f t="shared" ref="O39:O44" si="8">IF(F17&gt;0,N39=100,IF(F17=0,N39=0))</f>
        <v>1</v>
      </c>
      <c r="P39" s="442" t="s">
        <v>56</v>
      </c>
      <c r="Q39" s="54"/>
      <c r="R39" s="5"/>
      <c r="S39" s="5"/>
      <c r="T39" s="54"/>
      <c r="U39" s="5"/>
      <c r="V39" s="5"/>
      <c r="W39" s="5"/>
      <c r="X39" s="448"/>
      <c r="AA39" s="1"/>
      <c r="AB39" s="1"/>
      <c r="AC39" s="1"/>
    </row>
    <row r="40" spans="1:32" ht="16.5" thickBot="1" x14ac:dyDescent="0.3">
      <c r="A40" s="1"/>
      <c r="B40" s="574">
        <f t="shared" si="7"/>
        <v>0</v>
      </c>
      <c r="C40" s="63"/>
      <c r="D40" s="63"/>
      <c r="E40" s="63"/>
      <c r="F40" s="63"/>
      <c r="G40" s="63"/>
      <c r="H40" s="63"/>
      <c r="I40" s="63"/>
      <c r="J40" s="63"/>
      <c r="K40" s="63"/>
      <c r="L40" s="63"/>
      <c r="M40" s="27"/>
      <c r="N40" s="575">
        <f t="shared" si="5"/>
        <v>0</v>
      </c>
      <c r="O40" s="573" t="b">
        <f t="shared" si="8"/>
        <v>1</v>
      </c>
      <c r="P40" s="442" t="s">
        <v>56</v>
      </c>
      <c r="Q40" s="54"/>
      <c r="R40" s="5"/>
      <c r="S40" s="5"/>
      <c r="T40" s="54"/>
      <c r="U40" s="5"/>
      <c r="V40" s="5"/>
      <c r="W40" s="5"/>
      <c r="X40" s="448"/>
      <c r="AA40" s="1"/>
      <c r="AB40" s="1"/>
      <c r="AC40" s="1"/>
    </row>
    <row r="41" spans="1:32" ht="16.5" thickBot="1" x14ac:dyDescent="0.3">
      <c r="A41" s="1"/>
      <c r="B41" s="574">
        <f t="shared" si="7"/>
        <v>0</v>
      </c>
      <c r="C41" s="63"/>
      <c r="D41" s="63"/>
      <c r="E41" s="63"/>
      <c r="F41" s="63"/>
      <c r="G41" s="63"/>
      <c r="H41" s="63"/>
      <c r="I41" s="63"/>
      <c r="J41" s="63"/>
      <c r="K41" s="63"/>
      <c r="L41" s="63"/>
      <c r="M41" s="27"/>
      <c r="N41" s="575">
        <f t="shared" si="5"/>
        <v>0</v>
      </c>
      <c r="O41" s="573" t="b">
        <f t="shared" si="8"/>
        <v>1</v>
      </c>
      <c r="P41" s="442" t="s">
        <v>56</v>
      </c>
      <c r="Q41" s="54"/>
      <c r="R41" s="5"/>
      <c r="S41" s="5"/>
      <c r="T41" s="54"/>
      <c r="U41" s="5"/>
      <c r="V41" s="5"/>
      <c r="W41" s="5"/>
      <c r="X41" s="448"/>
      <c r="AA41" s="1"/>
      <c r="AB41" s="1"/>
      <c r="AC41" s="1"/>
    </row>
    <row r="42" spans="1:32" ht="16.5" thickBot="1" x14ac:dyDescent="0.3">
      <c r="A42" s="1"/>
      <c r="B42" s="574">
        <f t="shared" si="7"/>
        <v>0</v>
      </c>
      <c r="C42" s="63"/>
      <c r="D42" s="63"/>
      <c r="E42" s="63"/>
      <c r="F42" s="63"/>
      <c r="G42" s="63"/>
      <c r="H42" s="63"/>
      <c r="I42" s="63"/>
      <c r="J42" s="63"/>
      <c r="K42" s="63"/>
      <c r="L42" s="63"/>
      <c r="M42" s="27"/>
      <c r="N42" s="575">
        <f t="shared" si="5"/>
        <v>0</v>
      </c>
      <c r="O42" s="573" t="b">
        <f t="shared" si="8"/>
        <v>1</v>
      </c>
      <c r="P42" s="442" t="s">
        <v>56</v>
      </c>
      <c r="Q42" s="54"/>
      <c r="R42" s="5"/>
      <c r="S42" s="5"/>
      <c r="T42" s="54"/>
      <c r="U42" s="5"/>
      <c r="V42" s="5"/>
      <c r="W42" s="5"/>
      <c r="X42" s="448"/>
      <c r="AA42" s="1"/>
      <c r="AB42" s="1"/>
      <c r="AC42" s="1"/>
    </row>
    <row r="43" spans="1:32" ht="16.5" thickBot="1" x14ac:dyDescent="0.3">
      <c r="A43" s="1"/>
      <c r="B43" s="574">
        <f t="shared" si="7"/>
        <v>0</v>
      </c>
      <c r="C43" s="63"/>
      <c r="D43" s="63"/>
      <c r="E43" s="63"/>
      <c r="F43" s="63"/>
      <c r="G43" s="63"/>
      <c r="H43" s="63"/>
      <c r="I43" s="63"/>
      <c r="J43" s="63"/>
      <c r="K43" s="63"/>
      <c r="L43" s="63"/>
      <c r="M43" s="27"/>
      <c r="N43" s="575">
        <f t="shared" si="5"/>
        <v>0</v>
      </c>
      <c r="O43" s="573" t="b">
        <f t="shared" si="8"/>
        <v>1</v>
      </c>
      <c r="P43" s="442"/>
      <c r="Q43" s="54"/>
      <c r="R43" s="5"/>
      <c r="S43" s="5"/>
      <c r="T43" s="54"/>
      <c r="U43" s="5"/>
      <c r="V43" s="5"/>
      <c r="W43" s="5"/>
      <c r="X43" s="448"/>
      <c r="AA43" s="1"/>
      <c r="AB43" s="1"/>
      <c r="AC43" s="1"/>
    </row>
    <row r="44" spans="1:32" ht="16.5" thickBot="1" x14ac:dyDescent="0.3">
      <c r="A44" s="1"/>
      <c r="B44" s="574">
        <f t="shared" si="7"/>
        <v>0</v>
      </c>
      <c r="C44" s="63"/>
      <c r="D44" s="63"/>
      <c r="E44" s="63"/>
      <c r="F44" s="63"/>
      <c r="G44" s="63"/>
      <c r="H44" s="63"/>
      <c r="I44" s="63"/>
      <c r="J44" s="63"/>
      <c r="K44" s="63"/>
      <c r="L44" s="63"/>
      <c r="M44" s="27"/>
      <c r="N44" s="575">
        <f t="shared" si="5"/>
        <v>0</v>
      </c>
      <c r="O44" s="573" t="b">
        <f t="shared" si="8"/>
        <v>1</v>
      </c>
      <c r="P44" s="442"/>
      <c r="Q44" s="54"/>
      <c r="R44" s="5"/>
      <c r="S44" s="5"/>
      <c r="T44" s="54"/>
      <c r="U44" s="5"/>
      <c r="V44" s="5"/>
      <c r="W44" s="5"/>
      <c r="X44" s="448"/>
      <c r="AA44" s="1"/>
      <c r="AB44" s="1"/>
      <c r="AC44" s="1"/>
    </row>
    <row r="45" spans="1:32" ht="18.75" thickBot="1" x14ac:dyDescent="0.3">
      <c r="A45" s="1"/>
      <c r="B45" s="576" t="s">
        <v>299</v>
      </c>
      <c r="C45" s="577">
        <f>C66</f>
        <v>1462.5</v>
      </c>
      <c r="D45" s="577">
        <f t="shared" ref="D45:M45" si="9">D66</f>
        <v>0</v>
      </c>
      <c r="E45" s="577">
        <f t="shared" si="9"/>
        <v>0</v>
      </c>
      <c r="F45" s="577">
        <f t="shared" si="9"/>
        <v>0</v>
      </c>
      <c r="G45" s="577">
        <f t="shared" si="9"/>
        <v>1181.25</v>
      </c>
      <c r="H45" s="577">
        <f t="shared" si="9"/>
        <v>0</v>
      </c>
      <c r="I45" s="577">
        <f t="shared" si="9"/>
        <v>0</v>
      </c>
      <c r="J45" s="577">
        <f t="shared" si="9"/>
        <v>0</v>
      </c>
      <c r="K45" s="577">
        <f t="shared" si="9"/>
        <v>0</v>
      </c>
      <c r="L45" s="577">
        <f t="shared" si="9"/>
        <v>281.25</v>
      </c>
      <c r="M45" s="577">
        <f t="shared" si="9"/>
        <v>0</v>
      </c>
      <c r="N45" s="578">
        <f t="shared" si="5"/>
        <v>2925</v>
      </c>
      <c r="O45" s="573"/>
      <c r="P45" s="442" t="s">
        <v>56</v>
      </c>
      <c r="Q45" s="5"/>
      <c r="R45" s="5"/>
      <c r="S45" s="5"/>
      <c r="T45" s="5"/>
      <c r="U45" s="5"/>
      <c r="V45" s="5"/>
      <c r="W45" s="5"/>
      <c r="AA45" s="1"/>
      <c r="AB45" s="1"/>
      <c r="AC45" s="1"/>
    </row>
    <row r="46" spans="1:32" ht="15.75" thickBot="1" x14ac:dyDescent="0.25">
      <c r="A46" s="5"/>
      <c r="B46" s="579" t="s">
        <v>300</v>
      </c>
      <c r="C46" s="580">
        <f>C86</f>
        <v>0</v>
      </c>
      <c r="D46" s="580">
        <f t="shared" ref="D46:M46" si="10">D86</f>
        <v>0</v>
      </c>
      <c r="E46" s="580">
        <f t="shared" si="10"/>
        <v>0</v>
      </c>
      <c r="F46" s="580">
        <f t="shared" si="10"/>
        <v>0</v>
      </c>
      <c r="G46" s="580">
        <f t="shared" si="10"/>
        <v>0</v>
      </c>
      <c r="H46" s="580">
        <f t="shared" si="10"/>
        <v>0</v>
      </c>
      <c r="I46" s="580">
        <f t="shared" si="10"/>
        <v>0</v>
      </c>
      <c r="J46" s="580">
        <f t="shared" si="10"/>
        <v>0</v>
      </c>
      <c r="K46" s="580">
        <f t="shared" si="10"/>
        <v>0</v>
      </c>
      <c r="L46" s="580">
        <f t="shared" si="10"/>
        <v>0</v>
      </c>
      <c r="M46" s="580">
        <f t="shared" si="10"/>
        <v>0</v>
      </c>
      <c r="N46" s="578">
        <f t="shared" si="5"/>
        <v>0</v>
      </c>
      <c r="O46" s="28"/>
      <c r="P46" s="442" t="s">
        <v>56</v>
      </c>
      <c r="Q46" s="5"/>
      <c r="R46" s="5"/>
      <c r="S46" s="5"/>
      <c r="T46" s="5"/>
      <c r="U46" s="5"/>
      <c r="V46" s="5"/>
      <c r="W46" s="5"/>
      <c r="X46" s="1"/>
      <c r="Y46" s="1"/>
      <c r="Z46" s="1"/>
      <c r="AA46" s="1"/>
      <c r="AB46" s="1"/>
      <c r="AC46" s="1"/>
    </row>
    <row r="47" spans="1:32" hidden="1" x14ac:dyDescent="0.2">
      <c r="A47" s="5"/>
      <c r="B47" s="5"/>
      <c r="C47" s="5"/>
      <c r="D47" s="5"/>
      <c r="E47" s="5"/>
      <c r="F47" s="5"/>
      <c r="G47" s="5"/>
      <c r="H47" s="5"/>
      <c r="I47" s="5"/>
      <c r="J47" s="5"/>
      <c r="K47" s="5"/>
      <c r="L47" s="5"/>
      <c r="M47" s="28"/>
      <c r="N47" s="28"/>
      <c r="O47" s="28"/>
      <c r="P47" s="442" t="s">
        <v>56</v>
      </c>
      <c r="Q47" s="5"/>
      <c r="R47" s="5"/>
      <c r="S47" s="5"/>
      <c r="T47" s="5"/>
      <c r="U47" s="5"/>
      <c r="V47" s="5"/>
      <c r="W47" s="5"/>
      <c r="X47" s="1"/>
      <c r="Y47" s="1"/>
      <c r="Z47" s="1"/>
      <c r="AA47" s="1"/>
      <c r="AB47" s="1"/>
      <c r="AC47" s="1"/>
    </row>
    <row r="48" spans="1:32" hidden="1" x14ac:dyDescent="0.2">
      <c r="A48" s="1"/>
      <c r="B48" s="581" t="str">
        <f t="shared" ref="B48:B57" si="11">B27</f>
        <v>Casa sede</v>
      </c>
      <c r="C48" s="582">
        <f t="shared" ref="C48:C57" si="12">C27*$F5/100</f>
        <v>900</v>
      </c>
      <c r="D48" s="582">
        <f t="shared" ref="D48:M48" si="13">D27*$F5/100</f>
        <v>0</v>
      </c>
      <c r="E48" s="582">
        <f t="shared" si="13"/>
        <v>0</v>
      </c>
      <c r="F48" s="582">
        <f t="shared" si="13"/>
        <v>0</v>
      </c>
      <c r="G48" s="582">
        <f t="shared" si="13"/>
        <v>900</v>
      </c>
      <c r="H48" s="582">
        <f t="shared" si="13"/>
        <v>0</v>
      </c>
      <c r="I48" s="582">
        <f t="shared" si="13"/>
        <v>0</v>
      </c>
      <c r="J48" s="582">
        <f t="shared" si="13"/>
        <v>0</v>
      </c>
      <c r="K48" s="582">
        <f t="shared" si="13"/>
        <v>0</v>
      </c>
      <c r="L48" s="582">
        <f t="shared" si="13"/>
        <v>0</v>
      </c>
      <c r="M48" s="582">
        <f t="shared" si="13"/>
        <v>0</v>
      </c>
      <c r="N48" s="583"/>
      <c r="O48" s="583"/>
      <c r="P48" s="442" t="s">
        <v>56</v>
      </c>
      <c r="Q48" s="56"/>
      <c r="R48" s="56"/>
      <c r="S48" s="56"/>
      <c r="T48" s="56"/>
      <c r="U48" s="56"/>
      <c r="V48" s="56"/>
      <c r="W48" s="56"/>
      <c r="X48" s="583"/>
      <c r="Y48" s="583"/>
      <c r="Z48" s="583"/>
      <c r="AA48" s="1"/>
      <c r="AB48" s="1"/>
      <c r="AC48" s="1"/>
    </row>
    <row r="49" spans="1:29" hidden="1" x14ac:dyDescent="0.2">
      <c r="A49" s="1"/>
      <c r="B49" s="581">
        <f t="shared" si="11"/>
        <v>0</v>
      </c>
      <c r="C49" s="582">
        <f t="shared" si="12"/>
        <v>0</v>
      </c>
      <c r="D49" s="582">
        <f t="shared" ref="D49:M49" si="14">D28*$F6/100</f>
        <v>0</v>
      </c>
      <c r="E49" s="582">
        <f t="shared" si="14"/>
        <v>0</v>
      </c>
      <c r="F49" s="582">
        <f t="shared" si="14"/>
        <v>0</v>
      </c>
      <c r="G49" s="582">
        <f t="shared" si="14"/>
        <v>0</v>
      </c>
      <c r="H49" s="582">
        <f t="shared" si="14"/>
        <v>0</v>
      </c>
      <c r="I49" s="582">
        <f t="shared" si="14"/>
        <v>0</v>
      </c>
      <c r="J49" s="582">
        <f t="shared" si="14"/>
        <v>0</v>
      </c>
      <c r="K49" s="582">
        <f t="shared" si="14"/>
        <v>0</v>
      </c>
      <c r="L49" s="582">
        <f t="shared" si="14"/>
        <v>0</v>
      </c>
      <c r="M49" s="582">
        <f t="shared" si="14"/>
        <v>0</v>
      </c>
      <c r="N49" s="1"/>
      <c r="O49" s="1"/>
      <c r="P49" s="442" t="s">
        <v>56</v>
      </c>
      <c r="Q49" s="5"/>
      <c r="R49" s="5"/>
      <c r="S49" s="5"/>
      <c r="T49" s="5"/>
      <c r="U49" s="5"/>
      <c r="V49" s="5"/>
      <c r="W49" s="5"/>
      <c r="X49" s="1"/>
      <c r="Y49" s="1"/>
      <c r="Z49" s="1"/>
      <c r="AA49" s="1"/>
      <c r="AB49" s="1"/>
      <c r="AC49" s="1"/>
    </row>
    <row r="50" spans="1:29" hidden="1" x14ac:dyDescent="0.2">
      <c r="A50" s="1"/>
      <c r="B50" s="581">
        <f t="shared" si="11"/>
        <v>0</v>
      </c>
      <c r="C50" s="582">
        <f t="shared" si="12"/>
        <v>0</v>
      </c>
      <c r="D50" s="582">
        <f t="shared" ref="D50:M50" si="15">D29*$F7/100</f>
        <v>0</v>
      </c>
      <c r="E50" s="582">
        <f t="shared" si="15"/>
        <v>0</v>
      </c>
      <c r="F50" s="582">
        <f t="shared" si="15"/>
        <v>0</v>
      </c>
      <c r="G50" s="582">
        <f t="shared" si="15"/>
        <v>0</v>
      </c>
      <c r="H50" s="582">
        <f t="shared" si="15"/>
        <v>0</v>
      </c>
      <c r="I50" s="582">
        <f t="shared" si="15"/>
        <v>0</v>
      </c>
      <c r="J50" s="582">
        <f t="shared" si="15"/>
        <v>0</v>
      </c>
      <c r="K50" s="582">
        <f t="shared" si="15"/>
        <v>0</v>
      </c>
      <c r="L50" s="582">
        <f t="shared" si="15"/>
        <v>0</v>
      </c>
      <c r="M50" s="582">
        <f t="shared" si="15"/>
        <v>0</v>
      </c>
      <c r="N50" s="1"/>
      <c r="O50" s="1"/>
      <c r="P50" s="442" t="s">
        <v>56</v>
      </c>
      <c r="Q50" s="5"/>
      <c r="R50" s="5"/>
      <c r="S50" s="5"/>
      <c r="T50" s="5"/>
      <c r="U50" s="5"/>
      <c r="V50" s="5"/>
      <c r="W50" s="5"/>
      <c r="X50" s="1"/>
      <c r="Y50" s="1"/>
      <c r="Z50" s="1"/>
      <c r="AA50" s="1"/>
    </row>
    <row r="51" spans="1:29" hidden="1" x14ac:dyDescent="0.2">
      <c r="A51" s="1"/>
      <c r="B51" s="581">
        <f t="shared" si="11"/>
        <v>0</v>
      </c>
      <c r="C51" s="582">
        <f t="shared" si="12"/>
        <v>0</v>
      </c>
      <c r="D51" s="582">
        <f t="shared" ref="D51:M51" si="16">D30*$F8/100</f>
        <v>0</v>
      </c>
      <c r="E51" s="582">
        <f t="shared" si="16"/>
        <v>0</v>
      </c>
      <c r="F51" s="582">
        <f t="shared" si="16"/>
        <v>0</v>
      </c>
      <c r="G51" s="582">
        <f t="shared" si="16"/>
        <v>0</v>
      </c>
      <c r="H51" s="582">
        <f t="shared" si="16"/>
        <v>0</v>
      </c>
      <c r="I51" s="582">
        <f t="shared" si="16"/>
        <v>0</v>
      </c>
      <c r="J51" s="582">
        <f t="shared" si="16"/>
        <v>0</v>
      </c>
      <c r="K51" s="582">
        <f t="shared" si="16"/>
        <v>0</v>
      </c>
      <c r="L51" s="582">
        <f t="shared" si="16"/>
        <v>0</v>
      </c>
      <c r="M51" s="582">
        <f t="shared" si="16"/>
        <v>0</v>
      </c>
      <c r="N51" s="1"/>
      <c r="O51" s="1"/>
      <c r="P51" s="442" t="s">
        <v>56</v>
      </c>
      <c r="Q51" s="5"/>
      <c r="R51" s="5"/>
      <c r="S51" s="5"/>
      <c r="T51" s="5"/>
      <c r="U51" s="5"/>
      <c r="V51" s="5"/>
      <c r="W51" s="5"/>
      <c r="X51" s="1"/>
      <c r="Y51" s="1"/>
      <c r="Z51" s="1"/>
      <c r="AA51" s="1"/>
    </row>
    <row r="52" spans="1:29" hidden="1" x14ac:dyDescent="0.2">
      <c r="B52" s="581">
        <f t="shared" si="11"/>
        <v>0</v>
      </c>
      <c r="C52" s="582">
        <f t="shared" si="12"/>
        <v>0</v>
      </c>
      <c r="D52" s="582">
        <f t="shared" ref="D52:M52" si="17">D31*$F9/100</f>
        <v>0</v>
      </c>
      <c r="E52" s="582">
        <f t="shared" si="17"/>
        <v>0</v>
      </c>
      <c r="F52" s="582">
        <f t="shared" si="17"/>
        <v>0</v>
      </c>
      <c r="G52" s="582">
        <f t="shared" si="17"/>
        <v>0</v>
      </c>
      <c r="H52" s="582">
        <f t="shared" si="17"/>
        <v>0</v>
      </c>
      <c r="I52" s="582">
        <f t="shared" si="17"/>
        <v>0</v>
      </c>
      <c r="J52" s="582">
        <f t="shared" si="17"/>
        <v>0</v>
      </c>
      <c r="K52" s="582">
        <f t="shared" si="17"/>
        <v>0</v>
      </c>
      <c r="L52" s="582">
        <f t="shared" si="17"/>
        <v>0</v>
      </c>
      <c r="M52" s="582">
        <f t="shared" si="17"/>
        <v>0</v>
      </c>
      <c r="N52" s="1"/>
      <c r="O52" s="1"/>
      <c r="P52" s="442" t="s">
        <v>56</v>
      </c>
      <c r="Q52" s="5"/>
      <c r="R52" s="5"/>
      <c r="S52" s="5"/>
      <c r="T52" s="5"/>
      <c r="U52" s="5"/>
      <c r="V52" s="5"/>
      <c r="W52" s="5"/>
      <c r="X52" s="1"/>
      <c r="Y52" s="1"/>
      <c r="Z52" s="1"/>
      <c r="AA52" s="1"/>
    </row>
    <row r="53" spans="1:29" hidden="1" x14ac:dyDescent="0.2">
      <c r="B53" s="581">
        <f t="shared" si="11"/>
        <v>0</v>
      </c>
      <c r="C53" s="582">
        <f t="shared" si="12"/>
        <v>0</v>
      </c>
      <c r="D53" s="582">
        <f t="shared" ref="D53:M53" si="18">D32*$F10/100</f>
        <v>0</v>
      </c>
      <c r="E53" s="582">
        <f t="shared" si="18"/>
        <v>0</v>
      </c>
      <c r="F53" s="582">
        <f t="shared" si="18"/>
        <v>0</v>
      </c>
      <c r="G53" s="582">
        <f t="shared" si="18"/>
        <v>0</v>
      </c>
      <c r="H53" s="582">
        <f t="shared" si="18"/>
        <v>0</v>
      </c>
      <c r="I53" s="582">
        <f t="shared" si="18"/>
        <v>0</v>
      </c>
      <c r="J53" s="582">
        <f t="shared" si="18"/>
        <v>0</v>
      </c>
      <c r="K53" s="582">
        <f t="shared" si="18"/>
        <v>0</v>
      </c>
      <c r="L53" s="582">
        <f t="shared" si="18"/>
        <v>0</v>
      </c>
      <c r="M53" s="582">
        <f t="shared" si="18"/>
        <v>0</v>
      </c>
      <c r="N53" s="1"/>
      <c r="O53" s="1"/>
      <c r="P53" s="442" t="s">
        <v>56</v>
      </c>
      <c r="Q53" s="5"/>
      <c r="R53" s="5"/>
      <c r="S53" s="5"/>
      <c r="T53" s="5"/>
      <c r="U53" s="5"/>
      <c r="V53" s="5"/>
      <c r="W53" s="5"/>
      <c r="X53" s="1"/>
      <c r="Y53" s="1"/>
      <c r="Z53" s="1"/>
      <c r="AA53" s="1"/>
    </row>
    <row r="54" spans="1:29" hidden="1" x14ac:dyDescent="0.2">
      <c r="B54" s="581">
        <f t="shared" si="11"/>
        <v>0</v>
      </c>
      <c r="C54" s="582">
        <f t="shared" si="12"/>
        <v>0</v>
      </c>
      <c r="D54" s="582">
        <f t="shared" ref="D54:M54" si="19">D33*$F11/100</f>
        <v>0</v>
      </c>
      <c r="E54" s="582">
        <f t="shared" si="19"/>
        <v>0</v>
      </c>
      <c r="F54" s="582">
        <f t="shared" si="19"/>
        <v>0</v>
      </c>
      <c r="G54" s="582">
        <f t="shared" si="19"/>
        <v>0</v>
      </c>
      <c r="H54" s="582">
        <f t="shared" si="19"/>
        <v>0</v>
      </c>
      <c r="I54" s="582">
        <f t="shared" si="19"/>
        <v>0</v>
      </c>
      <c r="J54" s="582">
        <f t="shared" si="19"/>
        <v>0</v>
      </c>
      <c r="K54" s="582">
        <f t="shared" si="19"/>
        <v>0</v>
      </c>
      <c r="L54" s="582">
        <f t="shared" si="19"/>
        <v>0</v>
      </c>
      <c r="M54" s="582">
        <f t="shared" si="19"/>
        <v>0</v>
      </c>
      <c r="N54" s="1"/>
      <c r="O54" s="1"/>
      <c r="P54" s="442" t="s">
        <v>56</v>
      </c>
      <c r="Q54" s="5"/>
      <c r="R54" s="5"/>
      <c r="S54" s="5"/>
      <c r="T54" s="5"/>
      <c r="U54" s="5"/>
      <c r="V54" s="5"/>
      <c r="W54" s="5"/>
      <c r="X54" s="1"/>
      <c r="Y54" s="1"/>
      <c r="Z54" s="1"/>
      <c r="AA54" s="1"/>
    </row>
    <row r="55" spans="1:29" hidden="1" x14ac:dyDescent="0.2">
      <c r="B55" s="581">
        <f t="shared" si="11"/>
        <v>0</v>
      </c>
      <c r="C55" s="582">
        <f t="shared" si="12"/>
        <v>0</v>
      </c>
      <c r="D55" s="582">
        <f t="shared" ref="D55:M55" si="20">D34*$F12/100</f>
        <v>0</v>
      </c>
      <c r="E55" s="582">
        <f t="shared" si="20"/>
        <v>0</v>
      </c>
      <c r="F55" s="582">
        <f t="shared" si="20"/>
        <v>0</v>
      </c>
      <c r="G55" s="582">
        <f t="shared" si="20"/>
        <v>0</v>
      </c>
      <c r="H55" s="582">
        <f t="shared" si="20"/>
        <v>0</v>
      </c>
      <c r="I55" s="582">
        <f t="shared" si="20"/>
        <v>0</v>
      </c>
      <c r="J55" s="582">
        <f t="shared" si="20"/>
        <v>0</v>
      </c>
      <c r="K55" s="582">
        <f t="shared" si="20"/>
        <v>0</v>
      </c>
      <c r="L55" s="582">
        <f t="shared" si="20"/>
        <v>0</v>
      </c>
      <c r="M55" s="582">
        <f t="shared" si="20"/>
        <v>0</v>
      </c>
      <c r="N55" s="1"/>
      <c r="O55" s="1"/>
      <c r="P55" s="442" t="s">
        <v>56</v>
      </c>
      <c r="Q55" s="5"/>
      <c r="R55" s="5"/>
      <c r="S55" s="5"/>
      <c r="T55" s="5"/>
      <c r="U55" s="5"/>
      <c r="V55" s="5"/>
      <c r="W55" s="5"/>
      <c r="X55" s="1"/>
      <c r="Y55" s="1"/>
      <c r="Z55" s="1"/>
      <c r="AA55" s="1"/>
    </row>
    <row r="56" spans="1:29" hidden="1" x14ac:dyDescent="0.2">
      <c r="B56" s="581">
        <f t="shared" si="11"/>
        <v>0</v>
      </c>
      <c r="C56" s="582">
        <f t="shared" si="12"/>
        <v>0</v>
      </c>
      <c r="D56" s="582">
        <f t="shared" ref="D56:M56" si="21">D35*$F13/100</f>
        <v>0</v>
      </c>
      <c r="E56" s="582">
        <f t="shared" si="21"/>
        <v>0</v>
      </c>
      <c r="F56" s="582">
        <f t="shared" si="21"/>
        <v>0</v>
      </c>
      <c r="G56" s="582">
        <f t="shared" si="21"/>
        <v>0</v>
      </c>
      <c r="H56" s="582">
        <f t="shared" si="21"/>
        <v>0</v>
      </c>
      <c r="I56" s="582">
        <f t="shared" si="21"/>
        <v>0</v>
      </c>
      <c r="J56" s="582">
        <f t="shared" si="21"/>
        <v>0</v>
      </c>
      <c r="K56" s="582">
        <f t="shared" si="21"/>
        <v>0</v>
      </c>
      <c r="L56" s="582">
        <f t="shared" si="21"/>
        <v>0</v>
      </c>
      <c r="M56" s="582">
        <f t="shared" si="21"/>
        <v>0</v>
      </c>
      <c r="N56" s="1"/>
      <c r="O56" s="1"/>
      <c r="P56" s="442" t="s">
        <v>56</v>
      </c>
      <c r="Q56" s="5"/>
      <c r="R56" s="5"/>
      <c r="S56" s="5"/>
      <c r="T56" s="5"/>
      <c r="U56" s="5"/>
      <c r="V56" s="5"/>
      <c r="W56" s="5"/>
      <c r="X56" s="1"/>
      <c r="Y56" s="1"/>
      <c r="Z56" s="1"/>
      <c r="AA56" s="1"/>
    </row>
    <row r="57" spans="1:29" hidden="1" x14ac:dyDescent="0.2">
      <c r="B57" s="581">
        <f t="shared" si="11"/>
        <v>0</v>
      </c>
      <c r="C57" s="582">
        <f t="shared" si="12"/>
        <v>0</v>
      </c>
      <c r="D57" s="582">
        <f t="shared" ref="D57:M57" si="22">D36*$F14/100</f>
        <v>0</v>
      </c>
      <c r="E57" s="582">
        <f t="shared" si="22"/>
        <v>0</v>
      </c>
      <c r="F57" s="582">
        <f t="shared" si="22"/>
        <v>0</v>
      </c>
      <c r="G57" s="582">
        <f t="shared" si="22"/>
        <v>0</v>
      </c>
      <c r="H57" s="582">
        <f t="shared" si="22"/>
        <v>0</v>
      </c>
      <c r="I57" s="582">
        <f t="shared" si="22"/>
        <v>0</v>
      </c>
      <c r="J57" s="582">
        <f t="shared" si="22"/>
        <v>0</v>
      </c>
      <c r="K57" s="582">
        <f t="shared" si="22"/>
        <v>0</v>
      </c>
      <c r="L57" s="582">
        <f t="shared" si="22"/>
        <v>0</v>
      </c>
      <c r="M57" s="582">
        <f t="shared" si="22"/>
        <v>0</v>
      </c>
      <c r="N57" s="1"/>
      <c r="O57" s="1"/>
      <c r="P57" s="442" t="s">
        <v>56</v>
      </c>
      <c r="Q57" s="5"/>
      <c r="R57" s="5"/>
      <c r="S57" s="5"/>
      <c r="T57" s="5"/>
      <c r="U57" s="5"/>
      <c r="V57" s="5"/>
      <c r="W57" s="5"/>
      <c r="X57" s="1"/>
      <c r="Y57" s="1"/>
      <c r="Z57" s="1"/>
      <c r="AA57" s="1"/>
    </row>
    <row r="58" spans="1:29" hidden="1" x14ac:dyDescent="0.2">
      <c r="B58" s="581"/>
      <c r="C58" s="582"/>
      <c r="D58" s="582"/>
      <c r="E58" s="582"/>
      <c r="F58" s="582"/>
      <c r="G58" s="582"/>
      <c r="H58" s="582"/>
      <c r="I58" s="582"/>
      <c r="J58" s="582"/>
      <c r="K58" s="582"/>
      <c r="L58" s="582"/>
      <c r="M58" s="582"/>
      <c r="P58" s="442"/>
      <c r="Q58" s="5"/>
      <c r="R58" s="5"/>
      <c r="S58" s="5"/>
      <c r="T58" s="5"/>
      <c r="U58" s="5"/>
      <c r="V58" s="5"/>
      <c r="W58" s="5"/>
    </row>
    <row r="59" spans="1:29" hidden="1" x14ac:dyDescent="0.2">
      <c r="B59" s="581" t="str">
        <f t="shared" ref="B59:B64" si="23">B39</f>
        <v>Refroma do trator</v>
      </c>
      <c r="C59" s="582">
        <f>C39*$F17/100</f>
        <v>562.5</v>
      </c>
      <c r="D59" s="582">
        <f t="shared" ref="D59:M59" si="24">D39*$F17/100</f>
        <v>0</v>
      </c>
      <c r="E59" s="582">
        <f t="shared" si="24"/>
        <v>0</v>
      </c>
      <c r="F59" s="582">
        <f t="shared" si="24"/>
        <v>0</v>
      </c>
      <c r="G59" s="582">
        <f t="shared" si="24"/>
        <v>281.25</v>
      </c>
      <c r="H59" s="582">
        <f t="shared" si="24"/>
        <v>0</v>
      </c>
      <c r="I59" s="582">
        <f t="shared" si="24"/>
        <v>0</v>
      </c>
      <c r="J59" s="582">
        <f t="shared" si="24"/>
        <v>0</v>
      </c>
      <c r="K59" s="582">
        <f t="shared" si="24"/>
        <v>0</v>
      </c>
      <c r="L59" s="582">
        <f t="shared" si="24"/>
        <v>281.25</v>
      </c>
      <c r="M59" s="582">
        <f t="shared" si="24"/>
        <v>0</v>
      </c>
      <c r="P59" s="442" t="s">
        <v>56</v>
      </c>
      <c r="Q59" s="5"/>
      <c r="R59" s="5"/>
      <c r="S59" s="5"/>
      <c r="T59" s="5"/>
      <c r="U59" s="5"/>
      <c r="V59" s="5"/>
      <c r="W59" s="5"/>
    </row>
    <row r="60" spans="1:29" hidden="1" x14ac:dyDescent="0.2">
      <c r="B60" s="581">
        <f t="shared" si="23"/>
        <v>0</v>
      </c>
      <c r="C60" s="582">
        <f>C40*$F18/100</f>
        <v>0</v>
      </c>
      <c r="D60" s="582">
        <f t="shared" ref="D60:M60" si="25">D40*$F18/100</f>
        <v>0</v>
      </c>
      <c r="E60" s="582">
        <f t="shared" si="25"/>
        <v>0</v>
      </c>
      <c r="F60" s="582">
        <f t="shared" si="25"/>
        <v>0</v>
      </c>
      <c r="G60" s="582">
        <f t="shared" si="25"/>
        <v>0</v>
      </c>
      <c r="H60" s="582">
        <f t="shared" si="25"/>
        <v>0</v>
      </c>
      <c r="I60" s="582">
        <f t="shared" si="25"/>
        <v>0</v>
      </c>
      <c r="J60" s="582">
        <f t="shared" si="25"/>
        <v>0</v>
      </c>
      <c r="K60" s="582">
        <f t="shared" si="25"/>
        <v>0</v>
      </c>
      <c r="L60" s="582">
        <f t="shared" si="25"/>
        <v>0</v>
      </c>
      <c r="M60" s="582">
        <f t="shared" si="25"/>
        <v>0</v>
      </c>
      <c r="P60" s="442" t="s">
        <v>56</v>
      </c>
      <c r="Q60" s="5"/>
      <c r="R60" s="5"/>
      <c r="S60" s="5"/>
      <c r="T60" s="5"/>
      <c r="U60" s="5"/>
      <c r="V60" s="5"/>
      <c r="W60" s="5"/>
    </row>
    <row r="61" spans="1:29" hidden="1" x14ac:dyDescent="0.2">
      <c r="B61" s="581">
        <f t="shared" si="23"/>
        <v>0</v>
      </c>
      <c r="C61" s="582">
        <f>C41*$F19/100</f>
        <v>0</v>
      </c>
      <c r="D61" s="582">
        <f t="shared" ref="D61:M61" si="26">D41*$F19/100</f>
        <v>0</v>
      </c>
      <c r="E61" s="582">
        <f t="shared" si="26"/>
        <v>0</v>
      </c>
      <c r="F61" s="582">
        <f t="shared" si="26"/>
        <v>0</v>
      </c>
      <c r="G61" s="582">
        <f t="shared" si="26"/>
        <v>0</v>
      </c>
      <c r="H61" s="582">
        <f t="shared" si="26"/>
        <v>0</v>
      </c>
      <c r="I61" s="582">
        <f t="shared" si="26"/>
        <v>0</v>
      </c>
      <c r="J61" s="582">
        <f t="shared" si="26"/>
        <v>0</v>
      </c>
      <c r="K61" s="582">
        <f t="shared" si="26"/>
        <v>0</v>
      </c>
      <c r="L61" s="582">
        <f t="shared" si="26"/>
        <v>0</v>
      </c>
      <c r="M61" s="582">
        <f t="shared" si="26"/>
        <v>0</v>
      </c>
      <c r="P61" s="442" t="s">
        <v>56</v>
      </c>
      <c r="Q61" s="5"/>
      <c r="R61" s="5"/>
      <c r="S61" s="5"/>
      <c r="T61" s="5"/>
      <c r="U61" s="5"/>
      <c r="V61" s="5"/>
      <c r="W61" s="5"/>
    </row>
    <row r="62" spans="1:29" hidden="1" x14ac:dyDescent="0.2">
      <c r="B62" s="581">
        <f t="shared" si="23"/>
        <v>0</v>
      </c>
      <c r="C62" s="582">
        <f>C42*$F20/100</f>
        <v>0</v>
      </c>
      <c r="D62" s="582">
        <f t="shared" ref="D62:M62" si="27">D42*$F20/100</f>
        <v>0</v>
      </c>
      <c r="E62" s="582">
        <f t="shared" si="27"/>
        <v>0</v>
      </c>
      <c r="F62" s="582">
        <f t="shared" si="27"/>
        <v>0</v>
      </c>
      <c r="G62" s="582">
        <f t="shared" si="27"/>
        <v>0</v>
      </c>
      <c r="H62" s="582">
        <f t="shared" si="27"/>
        <v>0</v>
      </c>
      <c r="I62" s="582">
        <f t="shared" si="27"/>
        <v>0</v>
      </c>
      <c r="J62" s="582">
        <f t="shared" si="27"/>
        <v>0</v>
      </c>
      <c r="K62" s="582">
        <f t="shared" si="27"/>
        <v>0</v>
      </c>
      <c r="L62" s="582">
        <f t="shared" si="27"/>
        <v>0</v>
      </c>
      <c r="M62" s="582">
        <f t="shared" si="27"/>
        <v>0</v>
      </c>
      <c r="P62" s="442"/>
      <c r="Q62" s="5"/>
      <c r="R62" s="5"/>
      <c r="S62" s="5"/>
      <c r="T62" s="5"/>
      <c r="U62" s="5"/>
      <c r="V62" s="5"/>
      <c r="W62" s="5"/>
    </row>
    <row r="63" spans="1:29" hidden="1" x14ac:dyDescent="0.2">
      <c r="B63" s="581">
        <f t="shared" si="23"/>
        <v>0</v>
      </c>
      <c r="C63" s="582">
        <f t="shared" ref="C63:M63" si="28">C43*$F21/100</f>
        <v>0</v>
      </c>
      <c r="D63" s="582">
        <f t="shared" si="28"/>
        <v>0</v>
      </c>
      <c r="E63" s="582">
        <f t="shared" si="28"/>
        <v>0</v>
      </c>
      <c r="F63" s="582">
        <f t="shared" si="28"/>
        <v>0</v>
      </c>
      <c r="G63" s="582">
        <f t="shared" si="28"/>
        <v>0</v>
      </c>
      <c r="H63" s="582">
        <f t="shared" si="28"/>
        <v>0</v>
      </c>
      <c r="I63" s="582">
        <f t="shared" si="28"/>
        <v>0</v>
      </c>
      <c r="J63" s="582">
        <f t="shared" si="28"/>
        <v>0</v>
      </c>
      <c r="K63" s="582">
        <f t="shared" si="28"/>
        <v>0</v>
      </c>
      <c r="L63" s="582">
        <f t="shared" si="28"/>
        <v>0</v>
      </c>
      <c r="M63" s="582">
        <f t="shared" si="28"/>
        <v>0</v>
      </c>
      <c r="P63" s="442"/>
      <c r="Q63" s="5"/>
      <c r="R63" s="5"/>
      <c r="S63" s="5"/>
      <c r="T63" s="5"/>
      <c r="U63" s="5"/>
      <c r="V63" s="5"/>
      <c r="W63" s="5"/>
    </row>
    <row r="64" spans="1:29" hidden="1" x14ac:dyDescent="0.2">
      <c r="B64" s="581">
        <f t="shared" si="23"/>
        <v>0</v>
      </c>
      <c r="C64" s="582">
        <f t="shared" ref="C64:M64" si="29">C44*$F22/100</f>
        <v>0</v>
      </c>
      <c r="D64" s="582">
        <f t="shared" si="29"/>
        <v>0</v>
      </c>
      <c r="E64" s="582">
        <f t="shared" si="29"/>
        <v>0</v>
      </c>
      <c r="F64" s="582">
        <f t="shared" si="29"/>
        <v>0</v>
      </c>
      <c r="G64" s="582">
        <f t="shared" si="29"/>
        <v>0</v>
      </c>
      <c r="H64" s="582">
        <f t="shared" si="29"/>
        <v>0</v>
      </c>
      <c r="I64" s="582">
        <f t="shared" si="29"/>
        <v>0</v>
      </c>
      <c r="J64" s="582">
        <f t="shared" si="29"/>
        <v>0</v>
      </c>
      <c r="K64" s="582">
        <f t="shared" si="29"/>
        <v>0</v>
      </c>
      <c r="L64" s="582">
        <f t="shared" si="29"/>
        <v>0</v>
      </c>
      <c r="M64" s="582">
        <f t="shared" si="29"/>
        <v>0</v>
      </c>
      <c r="P64" s="442"/>
      <c r="Q64" s="5"/>
      <c r="R64" s="5"/>
      <c r="S64" s="5"/>
      <c r="T64" s="5"/>
      <c r="U64" s="5"/>
      <c r="V64" s="5"/>
      <c r="W64" s="5"/>
    </row>
    <row r="65" spans="2:23" hidden="1" x14ac:dyDescent="0.2">
      <c r="B65" s="581"/>
      <c r="C65" s="582"/>
      <c r="D65" s="582"/>
      <c r="E65" s="582"/>
      <c r="F65" s="582"/>
      <c r="G65" s="582"/>
      <c r="H65" s="582"/>
      <c r="I65" s="582"/>
      <c r="J65" s="582"/>
      <c r="K65" s="582"/>
      <c r="L65" s="582"/>
      <c r="M65" s="582"/>
      <c r="P65" s="442"/>
      <c r="Q65" s="5"/>
      <c r="R65" s="5"/>
      <c r="S65" s="5"/>
      <c r="T65" s="5"/>
      <c r="U65" s="5"/>
      <c r="V65" s="5"/>
      <c r="W65" s="5"/>
    </row>
    <row r="66" spans="2:23" hidden="1" x14ac:dyDescent="0.2">
      <c r="B66" s="584" t="s">
        <v>298</v>
      </c>
      <c r="C66" s="585">
        <f>SUMIF(C48:C65,"&gt;0",C48:C65)</f>
        <v>1462.5</v>
      </c>
      <c r="D66" s="585">
        <f t="shared" ref="D66:K66" si="30">SUMIF(D48:D65,"&gt;0",D48:D65)</f>
        <v>0</v>
      </c>
      <c r="E66" s="585">
        <f t="shared" si="30"/>
        <v>0</v>
      </c>
      <c r="F66" s="585">
        <f t="shared" si="30"/>
        <v>0</v>
      </c>
      <c r="G66" s="585">
        <f t="shared" si="30"/>
        <v>1181.25</v>
      </c>
      <c r="H66" s="585">
        <f t="shared" si="30"/>
        <v>0</v>
      </c>
      <c r="I66" s="585">
        <f t="shared" si="30"/>
        <v>0</v>
      </c>
      <c r="J66" s="585">
        <f t="shared" si="30"/>
        <v>0</v>
      </c>
      <c r="K66" s="585">
        <f t="shared" si="30"/>
        <v>0</v>
      </c>
      <c r="L66" s="585">
        <f>SUMIF(L48:L65,"&gt;0",L48:L65)</f>
        <v>281.25</v>
      </c>
      <c r="M66" s="585">
        <f>SUMIF(M48:M65,"&gt;0",M48:M65)</f>
        <v>0</v>
      </c>
      <c r="N66" s="448">
        <f>SUM(C66:M66)</f>
        <v>2925</v>
      </c>
      <c r="P66" s="442" t="s">
        <v>56</v>
      </c>
      <c r="Q66" s="5"/>
      <c r="R66" s="5"/>
      <c r="S66" s="5"/>
      <c r="T66" s="5"/>
      <c r="U66" s="5"/>
      <c r="V66" s="5"/>
      <c r="W66" s="5"/>
    </row>
    <row r="67" spans="2:23" hidden="1" x14ac:dyDescent="0.2">
      <c r="B67" s="586"/>
      <c r="C67" s="587"/>
      <c r="D67" s="587"/>
      <c r="E67" s="587"/>
      <c r="F67" s="587"/>
      <c r="G67" s="587"/>
      <c r="H67" s="587"/>
      <c r="I67" s="587"/>
      <c r="J67" s="587"/>
      <c r="K67" s="587"/>
      <c r="L67" s="587"/>
      <c r="M67" s="587"/>
      <c r="N67" s="448"/>
      <c r="P67" s="442"/>
      <c r="Q67" s="5"/>
      <c r="R67" s="5"/>
      <c r="S67" s="5"/>
      <c r="T67" s="5"/>
      <c r="U67" s="5"/>
      <c r="V67" s="5"/>
      <c r="W67" s="5"/>
    </row>
    <row r="68" spans="2:23" hidden="1" x14ac:dyDescent="0.2">
      <c r="B68" s="586" t="str">
        <f t="shared" ref="B68:B77" si="31">B48</f>
        <v>Casa sede</v>
      </c>
      <c r="C68" s="587">
        <f t="shared" ref="C68:C77" si="32">$L5*C27/100</f>
        <v>0</v>
      </c>
      <c r="D68" s="587">
        <f t="shared" ref="D68:M68" si="33">$L5*D27/100</f>
        <v>0</v>
      </c>
      <c r="E68" s="587">
        <f t="shared" si="33"/>
        <v>0</v>
      </c>
      <c r="F68" s="587">
        <f t="shared" si="33"/>
        <v>0</v>
      </c>
      <c r="G68" s="587">
        <f t="shared" si="33"/>
        <v>0</v>
      </c>
      <c r="H68" s="587">
        <f t="shared" si="33"/>
        <v>0</v>
      </c>
      <c r="I68" s="587">
        <f t="shared" si="33"/>
        <v>0</v>
      </c>
      <c r="J68" s="587">
        <f t="shared" si="33"/>
        <v>0</v>
      </c>
      <c r="K68" s="587">
        <f t="shared" si="33"/>
        <v>0</v>
      </c>
      <c r="L68" s="587">
        <f t="shared" si="33"/>
        <v>0</v>
      </c>
      <c r="M68" s="587">
        <f t="shared" si="33"/>
        <v>0</v>
      </c>
      <c r="N68" s="448"/>
      <c r="P68" s="442"/>
      <c r="Q68" s="5"/>
      <c r="R68" s="5"/>
      <c r="S68" s="5"/>
      <c r="T68" s="5"/>
      <c r="U68" s="5"/>
      <c r="V68" s="5"/>
      <c r="W68" s="5"/>
    </row>
    <row r="69" spans="2:23" hidden="1" x14ac:dyDescent="0.2">
      <c r="B69" s="586">
        <f t="shared" si="31"/>
        <v>0</v>
      </c>
      <c r="C69" s="587">
        <f t="shared" si="32"/>
        <v>0</v>
      </c>
      <c r="D69" s="587">
        <f t="shared" ref="D69:M69" si="34">$L6*D28/100</f>
        <v>0</v>
      </c>
      <c r="E69" s="587">
        <f t="shared" si="34"/>
        <v>0</v>
      </c>
      <c r="F69" s="587">
        <f t="shared" si="34"/>
        <v>0</v>
      </c>
      <c r="G69" s="587">
        <f t="shared" si="34"/>
        <v>0</v>
      </c>
      <c r="H69" s="587">
        <f t="shared" si="34"/>
        <v>0</v>
      </c>
      <c r="I69" s="587">
        <f t="shared" si="34"/>
        <v>0</v>
      </c>
      <c r="J69" s="587">
        <f t="shared" si="34"/>
        <v>0</v>
      </c>
      <c r="K69" s="587">
        <f t="shared" si="34"/>
        <v>0</v>
      </c>
      <c r="L69" s="587">
        <f t="shared" si="34"/>
        <v>0</v>
      </c>
      <c r="M69" s="587">
        <f t="shared" si="34"/>
        <v>0</v>
      </c>
      <c r="N69" s="448"/>
      <c r="P69" s="442"/>
      <c r="Q69" s="5"/>
      <c r="R69" s="5"/>
      <c r="S69" s="5"/>
      <c r="T69" s="5"/>
      <c r="U69" s="5"/>
      <c r="V69" s="5"/>
      <c r="W69" s="5"/>
    </row>
    <row r="70" spans="2:23" hidden="1" x14ac:dyDescent="0.2">
      <c r="B70" s="586">
        <f t="shared" si="31"/>
        <v>0</v>
      </c>
      <c r="C70" s="587">
        <f t="shared" si="32"/>
        <v>0</v>
      </c>
      <c r="D70" s="587">
        <f t="shared" ref="D70:M70" si="35">$L7*D29/100</f>
        <v>0</v>
      </c>
      <c r="E70" s="587">
        <f t="shared" si="35"/>
        <v>0</v>
      </c>
      <c r="F70" s="587">
        <f t="shared" si="35"/>
        <v>0</v>
      </c>
      <c r="G70" s="587">
        <f t="shared" si="35"/>
        <v>0</v>
      </c>
      <c r="H70" s="587">
        <f t="shared" si="35"/>
        <v>0</v>
      </c>
      <c r="I70" s="587">
        <f t="shared" si="35"/>
        <v>0</v>
      </c>
      <c r="J70" s="587">
        <f t="shared" si="35"/>
        <v>0</v>
      </c>
      <c r="K70" s="587">
        <f t="shared" si="35"/>
        <v>0</v>
      </c>
      <c r="L70" s="587">
        <f t="shared" si="35"/>
        <v>0</v>
      </c>
      <c r="M70" s="587">
        <f t="shared" si="35"/>
        <v>0</v>
      </c>
      <c r="N70" s="448"/>
      <c r="P70" s="442"/>
      <c r="Q70" s="5"/>
      <c r="R70" s="5"/>
      <c r="S70" s="5"/>
      <c r="T70" s="5"/>
      <c r="U70" s="5"/>
      <c r="V70" s="5"/>
      <c r="W70" s="5"/>
    </row>
    <row r="71" spans="2:23" hidden="1" x14ac:dyDescent="0.2">
      <c r="B71" s="586">
        <f t="shared" si="31"/>
        <v>0</v>
      </c>
      <c r="C71" s="587">
        <f t="shared" si="32"/>
        <v>0</v>
      </c>
      <c r="D71" s="587">
        <f t="shared" ref="D71:M71" si="36">$L8*D30/100</f>
        <v>0</v>
      </c>
      <c r="E71" s="587">
        <f t="shared" si="36"/>
        <v>0</v>
      </c>
      <c r="F71" s="587">
        <f t="shared" si="36"/>
        <v>0</v>
      </c>
      <c r="G71" s="587">
        <f t="shared" si="36"/>
        <v>0</v>
      </c>
      <c r="H71" s="587">
        <f t="shared" si="36"/>
        <v>0</v>
      </c>
      <c r="I71" s="587">
        <f t="shared" si="36"/>
        <v>0</v>
      </c>
      <c r="J71" s="587">
        <f t="shared" si="36"/>
        <v>0</v>
      </c>
      <c r="K71" s="587">
        <f t="shared" si="36"/>
        <v>0</v>
      </c>
      <c r="L71" s="587">
        <f t="shared" si="36"/>
        <v>0</v>
      </c>
      <c r="M71" s="587">
        <f t="shared" si="36"/>
        <v>0</v>
      </c>
      <c r="N71" s="448"/>
      <c r="P71" s="442"/>
      <c r="Q71" s="5"/>
      <c r="R71" s="5"/>
      <c r="S71" s="5"/>
      <c r="T71" s="5"/>
      <c r="U71" s="5"/>
      <c r="V71" s="5"/>
      <c r="W71" s="5"/>
    </row>
    <row r="72" spans="2:23" hidden="1" x14ac:dyDescent="0.2">
      <c r="B72" s="586">
        <f t="shared" si="31"/>
        <v>0</v>
      </c>
      <c r="C72" s="587">
        <f t="shared" si="32"/>
        <v>0</v>
      </c>
      <c r="D72" s="587">
        <f t="shared" ref="D72:M72" si="37">$L9*D31/100</f>
        <v>0</v>
      </c>
      <c r="E72" s="587">
        <f t="shared" si="37"/>
        <v>0</v>
      </c>
      <c r="F72" s="587">
        <f t="shared" si="37"/>
        <v>0</v>
      </c>
      <c r="G72" s="587">
        <f t="shared" si="37"/>
        <v>0</v>
      </c>
      <c r="H72" s="587">
        <f t="shared" si="37"/>
        <v>0</v>
      </c>
      <c r="I72" s="587">
        <f t="shared" si="37"/>
        <v>0</v>
      </c>
      <c r="J72" s="587">
        <f t="shared" si="37"/>
        <v>0</v>
      </c>
      <c r="K72" s="587">
        <f t="shared" si="37"/>
        <v>0</v>
      </c>
      <c r="L72" s="587">
        <f t="shared" si="37"/>
        <v>0</v>
      </c>
      <c r="M72" s="587">
        <f t="shared" si="37"/>
        <v>0</v>
      </c>
      <c r="N72" s="448"/>
      <c r="P72" s="442"/>
      <c r="Q72" s="5"/>
      <c r="R72" s="5"/>
      <c r="S72" s="5"/>
      <c r="T72" s="5"/>
      <c r="U72" s="5"/>
      <c r="V72" s="5"/>
      <c r="W72" s="5"/>
    </row>
    <row r="73" spans="2:23" hidden="1" x14ac:dyDescent="0.2">
      <c r="B73" s="586">
        <f t="shared" si="31"/>
        <v>0</v>
      </c>
      <c r="C73" s="587">
        <f t="shared" si="32"/>
        <v>0</v>
      </c>
      <c r="D73" s="587">
        <f t="shared" ref="D73:M73" si="38">$L10*D32/100</f>
        <v>0</v>
      </c>
      <c r="E73" s="587">
        <f t="shared" si="38"/>
        <v>0</v>
      </c>
      <c r="F73" s="587">
        <f t="shared" si="38"/>
        <v>0</v>
      </c>
      <c r="G73" s="587">
        <f t="shared" si="38"/>
        <v>0</v>
      </c>
      <c r="H73" s="587">
        <f t="shared" si="38"/>
        <v>0</v>
      </c>
      <c r="I73" s="587">
        <f t="shared" si="38"/>
        <v>0</v>
      </c>
      <c r="J73" s="587">
        <f t="shared" si="38"/>
        <v>0</v>
      </c>
      <c r="K73" s="587">
        <f t="shared" si="38"/>
        <v>0</v>
      </c>
      <c r="L73" s="587">
        <f t="shared" si="38"/>
        <v>0</v>
      </c>
      <c r="M73" s="587">
        <f t="shared" si="38"/>
        <v>0</v>
      </c>
      <c r="N73" s="448"/>
      <c r="P73" s="442"/>
      <c r="Q73" s="5"/>
      <c r="R73" s="5"/>
      <c r="S73" s="5"/>
      <c r="T73" s="5"/>
      <c r="U73" s="5"/>
      <c r="V73" s="5"/>
      <c r="W73" s="5"/>
    </row>
    <row r="74" spans="2:23" hidden="1" x14ac:dyDescent="0.2">
      <c r="B74" s="586">
        <f t="shared" si="31"/>
        <v>0</v>
      </c>
      <c r="C74" s="587">
        <f t="shared" si="32"/>
        <v>0</v>
      </c>
      <c r="D74" s="587">
        <f t="shared" ref="D74:M74" si="39">$L11*D33/100</f>
        <v>0</v>
      </c>
      <c r="E74" s="587">
        <f t="shared" si="39"/>
        <v>0</v>
      </c>
      <c r="F74" s="587">
        <f t="shared" si="39"/>
        <v>0</v>
      </c>
      <c r="G74" s="587">
        <f t="shared" si="39"/>
        <v>0</v>
      </c>
      <c r="H74" s="587">
        <f t="shared" si="39"/>
        <v>0</v>
      </c>
      <c r="I74" s="587">
        <f t="shared" si="39"/>
        <v>0</v>
      </c>
      <c r="J74" s="587">
        <f t="shared" si="39"/>
        <v>0</v>
      </c>
      <c r="K74" s="587">
        <f t="shared" si="39"/>
        <v>0</v>
      </c>
      <c r="L74" s="587">
        <f t="shared" si="39"/>
        <v>0</v>
      </c>
      <c r="M74" s="587">
        <f t="shared" si="39"/>
        <v>0</v>
      </c>
      <c r="N74" s="448"/>
      <c r="P74" s="442"/>
      <c r="Q74" s="5"/>
      <c r="R74" s="5"/>
      <c r="S74" s="5"/>
      <c r="T74" s="5"/>
      <c r="U74" s="5"/>
      <c r="V74" s="5"/>
      <c r="W74" s="5"/>
    </row>
    <row r="75" spans="2:23" hidden="1" x14ac:dyDescent="0.2">
      <c r="B75" s="586">
        <f t="shared" si="31"/>
        <v>0</v>
      </c>
      <c r="C75" s="587">
        <f t="shared" si="32"/>
        <v>0</v>
      </c>
      <c r="D75" s="587">
        <f t="shared" ref="D75:M75" si="40">$L12*D34/100</f>
        <v>0</v>
      </c>
      <c r="E75" s="587">
        <f t="shared" si="40"/>
        <v>0</v>
      </c>
      <c r="F75" s="587">
        <f t="shared" si="40"/>
        <v>0</v>
      </c>
      <c r="G75" s="587">
        <f t="shared" si="40"/>
        <v>0</v>
      </c>
      <c r="H75" s="587">
        <f t="shared" si="40"/>
        <v>0</v>
      </c>
      <c r="I75" s="587">
        <f t="shared" si="40"/>
        <v>0</v>
      </c>
      <c r="J75" s="587">
        <f t="shared" si="40"/>
        <v>0</v>
      </c>
      <c r="K75" s="587">
        <f t="shared" si="40"/>
        <v>0</v>
      </c>
      <c r="L75" s="587">
        <f t="shared" si="40"/>
        <v>0</v>
      </c>
      <c r="M75" s="587">
        <f t="shared" si="40"/>
        <v>0</v>
      </c>
      <c r="N75" s="448"/>
      <c r="P75" s="442"/>
      <c r="Q75" s="5"/>
      <c r="R75" s="5"/>
      <c r="S75" s="5"/>
      <c r="T75" s="5"/>
      <c r="U75" s="5"/>
      <c r="V75" s="5"/>
      <c r="W75" s="5"/>
    </row>
    <row r="76" spans="2:23" hidden="1" x14ac:dyDescent="0.2">
      <c r="B76" s="586">
        <f t="shared" si="31"/>
        <v>0</v>
      </c>
      <c r="C76" s="587">
        <f t="shared" si="32"/>
        <v>0</v>
      </c>
      <c r="D76" s="587">
        <f t="shared" ref="D76:M76" si="41">$L13*D35/100</f>
        <v>0</v>
      </c>
      <c r="E76" s="587">
        <f t="shared" si="41"/>
        <v>0</v>
      </c>
      <c r="F76" s="587">
        <f t="shared" si="41"/>
        <v>0</v>
      </c>
      <c r="G76" s="587">
        <f t="shared" si="41"/>
        <v>0</v>
      </c>
      <c r="H76" s="587">
        <f t="shared" si="41"/>
        <v>0</v>
      </c>
      <c r="I76" s="587">
        <f t="shared" si="41"/>
        <v>0</v>
      </c>
      <c r="J76" s="587">
        <f t="shared" si="41"/>
        <v>0</v>
      </c>
      <c r="K76" s="587">
        <f t="shared" si="41"/>
        <v>0</v>
      </c>
      <c r="L76" s="587">
        <f t="shared" si="41"/>
        <v>0</v>
      </c>
      <c r="M76" s="587">
        <f t="shared" si="41"/>
        <v>0</v>
      </c>
      <c r="N76" s="448"/>
      <c r="P76" s="442"/>
      <c r="Q76" s="5"/>
      <c r="R76" s="5"/>
      <c r="S76" s="5"/>
      <c r="T76" s="5"/>
      <c r="U76" s="5"/>
      <c r="V76" s="5"/>
      <c r="W76" s="5"/>
    </row>
    <row r="77" spans="2:23" hidden="1" x14ac:dyDescent="0.2">
      <c r="B77" s="586">
        <f t="shared" si="31"/>
        <v>0</v>
      </c>
      <c r="C77" s="587">
        <f t="shared" si="32"/>
        <v>0</v>
      </c>
      <c r="D77" s="587">
        <f t="shared" ref="D77:M77" si="42">$L14*D36/100</f>
        <v>0</v>
      </c>
      <c r="E77" s="587">
        <f t="shared" si="42"/>
        <v>0</v>
      </c>
      <c r="F77" s="587">
        <f t="shared" si="42"/>
        <v>0</v>
      </c>
      <c r="G77" s="587">
        <f t="shared" si="42"/>
        <v>0</v>
      </c>
      <c r="H77" s="587">
        <f t="shared" si="42"/>
        <v>0</v>
      </c>
      <c r="I77" s="587">
        <f t="shared" si="42"/>
        <v>0</v>
      </c>
      <c r="J77" s="587">
        <f t="shared" si="42"/>
        <v>0</v>
      </c>
      <c r="K77" s="587">
        <f t="shared" si="42"/>
        <v>0</v>
      </c>
      <c r="L77" s="587">
        <f t="shared" si="42"/>
        <v>0</v>
      </c>
      <c r="M77" s="587">
        <f t="shared" si="42"/>
        <v>0</v>
      </c>
      <c r="N77" s="448"/>
      <c r="P77" s="442"/>
      <c r="Q77" s="5"/>
      <c r="R77" s="5"/>
      <c r="S77" s="5"/>
      <c r="T77" s="5"/>
      <c r="U77" s="5"/>
      <c r="V77" s="5"/>
      <c r="W77" s="5"/>
    </row>
    <row r="78" spans="2:23" hidden="1" x14ac:dyDescent="0.2">
      <c r="B78" s="586"/>
      <c r="C78" s="587"/>
      <c r="D78" s="587"/>
      <c r="E78" s="587"/>
      <c r="F78" s="587"/>
      <c r="G78" s="587"/>
      <c r="H78" s="587"/>
      <c r="I78" s="587"/>
      <c r="J78" s="587"/>
      <c r="K78" s="587"/>
      <c r="L78" s="587"/>
      <c r="M78" s="587"/>
      <c r="N78" s="448"/>
      <c r="P78" s="442"/>
      <c r="Q78" s="5"/>
      <c r="R78" s="5"/>
      <c r="S78" s="5"/>
      <c r="T78" s="5"/>
      <c r="U78" s="5"/>
      <c r="V78" s="5"/>
      <c r="W78" s="5"/>
    </row>
    <row r="79" spans="2:23" hidden="1" x14ac:dyDescent="0.2">
      <c r="B79" s="586" t="str">
        <f t="shared" ref="B79:B84" si="43">B59</f>
        <v>Refroma do trator</v>
      </c>
      <c r="C79" s="587">
        <f>$L17*C39/100</f>
        <v>0</v>
      </c>
      <c r="D79" s="587">
        <f t="shared" ref="D79:M79" si="44">$L17*D39/100</f>
        <v>0</v>
      </c>
      <c r="E79" s="587">
        <f t="shared" si="44"/>
        <v>0</v>
      </c>
      <c r="F79" s="587">
        <f t="shared" si="44"/>
        <v>0</v>
      </c>
      <c r="G79" s="587">
        <f t="shared" si="44"/>
        <v>0</v>
      </c>
      <c r="H79" s="587">
        <f t="shared" si="44"/>
        <v>0</v>
      </c>
      <c r="I79" s="587">
        <f t="shared" si="44"/>
        <v>0</v>
      </c>
      <c r="J79" s="587">
        <f t="shared" si="44"/>
        <v>0</v>
      </c>
      <c r="K79" s="587">
        <f t="shared" si="44"/>
        <v>0</v>
      </c>
      <c r="L79" s="587">
        <f t="shared" si="44"/>
        <v>0</v>
      </c>
      <c r="M79" s="587">
        <f t="shared" si="44"/>
        <v>0</v>
      </c>
      <c r="N79" s="448"/>
      <c r="P79" s="442"/>
      <c r="Q79" s="5"/>
      <c r="R79" s="5"/>
      <c r="S79" s="5"/>
      <c r="T79" s="5"/>
      <c r="U79" s="5"/>
      <c r="V79" s="5"/>
      <c r="W79" s="5"/>
    </row>
    <row r="80" spans="2:23" hidden="1" x14ac:dyDescent="0.2">
      <c r="B80" s="586">
        <f t="shared" si="43"/>
        <v>0</v>
      </c>
      <c r="C80" s="587">
        <f>$L18*C40/100</f>
        <v>0</v>
      </c>
      <c r="D80" s="587">
        <f t="shared" ref="D80:M80" si="45">$L18*D40/100</f>
        <v>0</v>
      </c>
      <c r="E80" s="587">
        <f t="shared" si="45"/>
        <v>0</v>
      </c>
      <c r="F80" s="587">
        <f t="shared" si="45"/>
        <v>0</v>
      </c>
      <c r="G80" s="587">
        <f t="shared" si="45"/>
        <v>0</v>
      </c>
      <c r="H80" s="587">
        <f t="shared" si="45"/>
        <v>0</v>
      </c>
      <c r="I80" s="587">
        <f t="shared" si="45"/>
        <v>0</v>
      </c>
      <c r="J80" s="587">
        <f t="shared" si="45"/>
        <v>0</v>
      </c>
      <c r="K80" s="587">
        <f t="shared" si="45"/>
        <v>0</v>
      </c>
      <c r="L80" s="587">
        <f t="shared" si="45"/>
        <v>0</v>
      </c>
      <c r="M80" s="587">
        <f t="shared" si="45"/>
        <v>0</v>
      </c>
      <c r="N80" s="448"/>
      <c r="P80" s="442"/>
      <c r="Q80" s="5"/>
      <c r="R80" s="5"/>
      <c r="S80" s="5"/>
      <c r="T80" s="5"/>
      <c r="U80" s="5"/>
      <c r="V80" s="5"/>
      <c r="W80" s="5"/>
    </row>
    <row r="81" spans="1:25" hidden="1" x14ac:dyDescent="0.2">
      <c r="B81" s="586">
        <f t="shared" si="43"/>
        <v>0</v>
      </c>
      <c r="C81" s="587">
        <f>$L19*C41/100</f>
        <v>0</v>
      </c>
      <c r="D81" s="587">
        <f t="shared" ref="D81:M81" si="46">$L19*D41/100</f>
        <v>0</v>
      </c>
      <c r="E81" s="587">
        <f t="shared" si="46"/>
        <v>0</v>
      </c>
      <c r="F81" s="587">
        <f t="shared" si="46"/>
        <v>0</v>
      </c>
      <c r="G81" s="587">
        <f t="shared" si="46"/>
        <v>0</v>
      </c>
      <c r="H81" s="587">
        <f t="shared" si="46"/>
        <v>0</v>
      </c>
      <c r="I81" s="587">
        <f t="shared" si="46"/>
        <v>0</v>
      </c>
      <c r="J81" s="587">
        <f t="shared" si="46"/>
        <v>0</v>
      </c>
      <c r="K81" s="587">
        <f t="shared" si="46"/>
        <v>0</v>
      </c>
      <c r="L81" s="587">
        <f t="shared" si="46"/>
        <v>0</v>
      </c>
      <c r="M81" s="587">
        <f t="shared" si="46"/>
        <v>0</v>
      </c>
      <c r="N81" s="448"/>
      <c r="P81" s="442"/>
      <c r="Q81" s="5"/>
      <c r="R81" s="5"/>
      <c r="S81" s="5"/>
      <c r="T81" s="5"/>
      <c r="U81" s="5"/>
      <c r="V81" s="5"/>
      <c r="W81" s="5"/>
    </row>
    <row r="82" spans="1:25" hidden="1" x14ac:dyDescent="0.2">
      <c r="B82" s="586">
        <f t="shared" si="43"/>
        <v>0</v>
      </c>
      <c r="C82" s="587">
        <f>$L20*C42/100</f>
        <v>0</v>
      </c>
      <c r="D82" s="587">
        <f t="shared" ref="D82:M82" si="47">$L20*D42/100</f>
        <v>0</v>
      </c>
      <c r="E82" s="587">
        <f t="shared" si="47"/>
        <v>0</v>
      </c>
      <c r="F82" s="587">
        <f t="shared" si="47"/>
        <v>0</v>
      </c>
      <c r="G82" s="587">
        <f t="shared" si="47"/>
        <v>0</v>
      </c>
      <c r="H82" s="587">
        <f t="shared" si="47"/>
        <v>0</v>
      </c>
      <c r="I82" s="587">
        <f t="shared" si="47"/>
        <v>0</v>
      </c>
      <c r="J82" s="587">
        <f t="shared" si="47"/>
        <v>0</v>
      </c>
      <c r="K82" s="587">
        <f t="shared" si="47"/>
        <v>0</v>
      </c>
      <c r="L82" s="587">
        <f t="shared" si="47"/>
        <v>0</v>
      </c>
      <c r="M82" s="587">
        <f t="shared" si="47"/>
        <v>0</v>
      </c>
      <c r="N82" s="448"/>
      <c r="P82" s="442"/>
      <c r="Q82" s="5"/>
      <c r="R82" s="5"/>
      <c r="S82" s="5"/>
      <c r="T82" s="5"/>
      <c r="U82" s="5"/>
      <c r="V82" s="5"/>
      <c r="W82" s="5"/>
    </row>
    <row r="83" spans="1:25" hidden="1" x14ac:dyDescent="0.2">
      <c r="B83" s="586">
        <f t="shared" si="43"/>
        <v>0</v>
      </c>
      <c r="C83" s="587">
        <f t="shared" ref="C83:M83" si="48">$L21*C43/100</f>
        <v>0</v>
      </c>
      <c r="D83" s="587">
        <f t="shared" si="48"/>
        <v>0</v>
      </c>
      <c r="E83" s="587">
        <f t="shared" si="48"/>
        <v>0</v>
      </c>
      <c r="F83" s="587">
        <f t="shared" si="48"/>
        <v>0</v>
      </c>
      <c r="G83" s="587">
        <f t="shared" si="48"/>
        <v>0</v>
      </c>
      <c r="H83" s="587">
        <f t="shared" si="48"/>
        <v>0</v>
      </c>
      <c r="I83" s="587">
        <f t="shared" si="48"/>
        <v>0</v>
      </c>
      <c r="J83" s="587">
        <f t="shared" si="48"/>
        <v>0</v>
      </c>
      <c r="K83" s="587">
        <f t="shared" si="48"/>
        <v>0</v>
      </c>
      <c r="L83" s="587">
        <f t="shared" si="48"/>
        <v>0</v>
      </c>
      <c r="M83" s="587">
        <f t="shared" si="48"/>
        <v>0</v>
      </c>
      <c r="N83" s="448"/>
      <c r="P83" s="442"/>
      <c r="Q83" s="5"/>
      <c r="R83" s="5"/>
      <c r="S83" s="5"/>
      <c r="T83" s="5"/>
      <c r="U83" s="5"/>
      <c r="V83" s="5"/>
      <c r="W83" s="5"/>
    </row>
    <row r="84" spans="1:25" hidden="1" x14ac:dyDescent="0.2">
      <c r="B84" s="586">
        <f t="shared" si="43"/>
        <v>0</v>
      </c>
      <c r="C84" s="587">
        <f t="shared" ref="C84:M84" si="49">$L22*C44/100</f>
        <v>0</v>
      </c>
      <c r="D84" s="587">
        <f t="shared" si="49"/>
        <v>0</v>
      </c>
      <c r="E84" s="587">
        <f t="shared" si="49"/>
        <v>0</v>
      </c>
      <c r="F84" s="587">
        <f t="shared" si="49"/>
        <v>0</v>
      </c>
      <c r="G84" s="587">
        <f t="shared" si="49"/>
        <v>0</v>
      </c>
      <c r="H84" s="587">
        <f t="shared" si="49"/>
        <v>0</v>
      </c>
      <c r="I84" s="587">
        <f t="shared" si="49"/>
        <v>0</v>
      </c>
      <c r="J84" s="587">
        <f t="shared" si="49"/>
        <v>0</v>
      </c>
      <c r="K84" s="587">
        <f t="shared" si="49"/>
        <v>0</v>
      </c>
      <c r="L84" s="587">
        <f t="shared" si="49"/>
        <v>0</v>
      </c>
      <c r="M84" s="587">
        <f t="shared" si="49"/>
        <v>0</v>
      </c>
      <c r="N84" s="448"/>
      <c r="P84" s="442"/>
      <c r="Q84" s="5"/>
      <c r="R84" s="5"/>
      <c r="S84" s="5"/>
      <c r="T84" s="5"/>
      <c r="U84" s="5"/>
      <c r="V84" s="5"/>
      <c r="W84" s="5"/>
    </row>
    <row r="85" spans="1:25" hidden="1" x14ac:dyDescent="0.2">
      <c r="B85" s="586"/>
      <c r="C85" s="587"/>
      <c r="D85" s="587"/>
      <c r="E85" s="587"/>
      <c r="F85" s="587"/>
      <c r="G85" s="587"/>
      <c r="H85" s="587"/>
      <c r="I85" s="587"/>
      <c r="J85" s="587"/>
      <c r="K85" s="587"/>
      <c r="L85" s="587"/>
      <c r="M85" s="587"/>
      <c r="N85" s="448"/>
      <c r="P85" s="442"/>
      <c r="Q85" s="5"/>
      <c r="R85" s="5"/>
      <c r="S85" s="5"/>
      <c r="T85" s="5"/>
      <c r="U85" s="5"/>
      <c r="V85" s="5"/>
      <c r="W85" s="5"/>
    </row>
    <row r="86" spans="1:25" hidden="1" x14ac:dyDescent="0.2">
      <c r="B86" s="586"/>
      <c r="C86" s="585">
        <f>SUMIF(C68:C85,"&gt;0",C68:C85)</f>
        <v>0</v>
      </c>
      <c r="D86" s="585">
        <f t="shared" ref="D86:M86" si="50">SUMIF(D68:D85,"&gt;0",D68:D85)</f>
        <v>0</v>
      </c>
      <c r="E86" s="585">
        <f t="shared" si="50"/>
        <v>0</v>
      </c>
      <c r="F86" s="585">
        <f t="shared" si="50"/>
        <v>0</v>
      </c>
      <c r="G86" s="585">
        <f t="shared" si="50"/>
        <v>0</v>
      </c>
      <c r="H86" s="585">
        <f t="shared" si="50"/>
        <v>0</v>
      </c>
      <c r="I86" s="585">
        <f t="shared" si="50"/>
        <v>0</v>
      </c>
      <c r="J86" s="585">
        <f t="shared" si="50"/>
        <v>0</v>
      </c>
      <c r="K86" s="585">
        <f t="shared" si="50"/>
        <v>0</v>
      </c>
      <c r="L86" s="585">
        <f t="shared" si="50"/>
        <v>0</v>
      </c>
      <c r="M86" s="585">
        <f t="shared" si="50"/>
        <v>0</v>
      </c>
      <c r="N86" s="448"/>
      <c r="P86" s="442"/>
      <c r="Q86" s="5"/>
      <c r="R86" s="5"/>
      <c r="S86" s="5"/>
      <c r="T86" s="5"/>
      <c r="U86" s="5"/>
      <c r="V86" s="5"/>
      <c r="W86" s="5"/>
    </row>
    <row r="87" spans="1:25" hidden="1" x14ac:dyDescent="0.2">
      <c r="B87" s="586"/>
      <c r="C87" s="587"/>
      <c r="D87" s="587"/>
      <c r="E87" s="587"/>
      <c r="F87" s="587"/>
      <c r="G87" s="587"/>
      <c r="H87" s="587"/>
      <c r="I87" s="587"/>
      <c r="J87" s="587"/>
      <c r="K87" s="587"/>
      <c r="L87" s="587"/>
      <c r="M87" s="587"/>
      <c r="N87" s="448"/>
      <c r="P87" s="442"/>
      <c r="Q87" s="5"/>
      <c r="R87" s="5"/>
      <c r="S87" s="5"/>
      <c r="T87" s="5"/>
      <c r="U87" s="5"/>
      <c r="V87" s="5"/>
      <c r="W87" s="5"/>
    </row>
    <row r="88" spans="1:25" hidden="1" x14ac:dyDescent="0.2">
      <c r="A88" s="119"/>
      <c r="B88" s="586"/>
      <c r="C88" s="588"/>
      <c r="D88" s="588"/>
      <c r="E88" s="588"/>
      <c r="F88" s="588"/>
      <c r="G88" s="588"/>
      <c r="H88" s="588"/>
      <c r="I88" s="588"/>
      <c r="J88" s="588"/>
      <c r="K88" s="588"/>
      <c r="L88" s="119"/>
      <c r="M88" s="119"/>
      <c r="N88" s="119"/>
      <c r="O88" s="119"/>
      <c r="P88" s="442" t="s">
        <v>56</v>
      </c>
      <c r="Q88" s="5"/>
      <c r="R88" s="5"/>
      <c r="S88" s="5"/>
      <c r="T88" s="5"/>
      <c r="U88" s="5"/>
      <c r="V88" s="5"/>
      <c r="W88" s="5"/>
    </row>
    <row r="89" spans="1:25" hidden="1" x14ac:dyDescent="0.2">
      <c r="A89" s="119"/>
      <c r="B89" s="586"/>
      <c r="C89" s="119"/>
      <c r="D89" s="119"/>
      <c r="E89" s="119"/>
      <c r="F89" s="119"/>
      <c r="G89" s="589"/>
      <c r="H89" s="589"/>
      <c r="I89" s="589"/>
      <c r="J89" s="589"/>
      <c r="K89" s="589"/>
      <c r="L89" s="589"/>
      <c r="M89" s="119"/>
      <c r="N89" s="119"/>
      <c r="O89" s="119"/>
      <c r="P89" s="442" t="s">
        <v>56</v>
      </c>
      <c r="Q89" s="5"/>
      <c r="R89" s="5"/>
      <c r="S89" s="5"/>
      <c r="T89" s="5"/>
      <c r="U89" s="5"/>
      <c r="V89" s="5"/>
      <c r="W89" s="5"/>
    </row>
    <row r="90" spans="1:25" x14ac:dyDescent="0.2">
      <c r="A90" s="119"/>
      <c r="B90" s="442" t="s">
        <v>56</v>
      </c>
      <c r="C90" s="442" t="s">
        <v>56</v>
      </c>
      <c r="D90" s="442" t="s">
        <v>56</v>
      </c>
      <c r="E90" s="442" t="s">
        <v>56</v>
      </c>
      <c r="F90" s="442" t="s">
        <v>56</v>
      </c>
      <c r="G90" s="442" t="s">
        <v>56</v>
      </c>
      <c r="H90" s="442" t="s">
        <v>56</v>
      </c>
      <c r="I90" s="442" t="s">
        <v>56</v>
      </c>
      <c r="J90" s="442" t="s">
        <v>56</v>
      </c>
      <c r="K90" s="442" t="s">
        <v>56</v>
      </c>
      <c r="L90" s="442" t="s">
        <v>56</v>
      </c>
      <c r="M90" s="442" t="s">
        <v>56</v>
      </c>
      <c r="N90" s="442" t="s">
        <v>56</v>
      </c>
      <c r="O90" s="442" t="s">
        <v>56</v>
      </c>
      <c r="P90" s="442" t="s">
        <v>56</v>
      </c>
      <c r="Q90" s="5"/>
      <c r="R90" s="5"/>
      <c r="S90" s="5"/>
      <c r="T90" s="5"/>
      <c r="U90" s="5"/>
      <c r="V90" s="5"/>
      <c r="W90" s="5"/>
    </row>
    <row r="91" spans="1:25" x14ac:dyDescent="0.2">
      <c r="A91" s="119"/>
      <c r="B91" s="442" t="s">
        <v>56</v>
      </c>
      <c r="C91" s="442" t="s">
        <v>56</v>
      </c>
      <c r="D91" s="442" t="s">
        <v>56</v>
      </c>
      <c r="E91" s="442" t="s">
        <v>56</v>
      </c>
      <c r="F91" s="442" t="s">
        <v>56</v>
      </c>
      <c r="G91" s="442" t="s">
        <v>56</v>
      </c>
      <c r="H91" s="442" t="s">
        <v>56</v>
      </c>
      <c r="I91" s="442" t="s">
        <v>56</v>
      </c>
      <c r="J91" s="442" t="s">
        <v>56</v>
      </c>
      <c r="K91" s="442" t="s">
        <v>56</v>
      </c>
      <c r="L91" s="442" t="s">
        <v>56</v>
      </c>
      <c r="M91" s="442" t="s">
        <v>56</v>
      </c>
      <c r="N91" s="442" t="s">
        <v>56</v>
      </c>
      <c r="O91" s="442" t="s">
        <v>56</v>
      </c>
      <c r="P91" s="442" t="s">
        <v>56</v>
      </c>
      <c r="Q91" s="5"/>
      <c r="R91" s="5"/>
      <c r="S91" s="5"/>
      <c r="T91" s="5"/>
      <c r="U91" s="5"/>
      <c r="V91" s="5"/>
      <c r="W91" s="5"/>
    </row>
    <row r="92" spans="1:25" x14ac:dyDescent="0.2">
      <c r="A92" s="119"/>
      <c r="B92" s="119"/>
      <c r="C92" s="119"/>
      <c r="D92" s="119"/>
      <c r="E92" s="119"/>
      <c r="F92" s="119"/>
      <c r="G92" s="589"/>
      <c r="H92" s="589"/>
      <c r="I92" s="589"/>
      <c r="J92" s="589"/>
      <c r="K92" s="589"/>
      <c r="L92" s="589"/>
      <c r="M92" s="119"/>
      <c r="N92" s="119"/>
      <c r="O92" s="119"/>
      <c r="P92" s="5"/>
      <c r="Q92" s="5"/>
      <c r="R92" s="5"/>
      <c r="S92" s="5"/>
      <c r="T92" s="5"/>
      <c r="U92" s="5"/>
      <c r="V92" s="5"/>
      <c r="W92" s="5"/>
    </row>
    <row r="93" spans="1:25" x14ac:dyDescent="0.2">
      <c r="A93" s="119"/>
      <c r="B93" s="119"/>
      <c r="C93" s="119"/>
      <c r="D93" s="588"/>
      <c r="E93" s="119"/>
      <c r="F93" s="119"/>
      <c r="G93" s="590"/>
      <c r="H93" s="590"/>
      <c r="I93" s="590"/>
      <c r="J93" s="590"/>
      <c r="K93" s="590"/>
      <c r="L93" s="590"/>
      <c r="M93" s="119"/>
      <c r="N93" s="119"/>
      <c r="O93" s="119"/>
      <c r="P93" s="5"/>
      <c r="Q93" s="5"/>
      <c r="R93" s="5"/>
      <c r="S93" s="5"/>
      <c r="T93" s="5"/>
      <c r="U93" s="5"/>
      <c r="V93" s="5"/>
      <c r="W93" s="5"/>
    </row>
    <row r="94" spans="1:25" x14ac:dyDescent="0.2">
      <c r="A94" s="119"/>
      <c r="B94" s="119"/>
      <c r="C94" s="119"/>
      <c r="D94" s="588"/>
      <c r="E94" s="119"/>
      <c r="F94" s="119"/>
      <c r="G94" s="589"/>
      <c r="H94" s="589"/>
      <c r="I94" s="589"/>
      <c r="J94" s="589"/>
      <c r="K94" s="589"/>
      <c r="L94" s="589"/>
      <c r="M94" s="119"/>
      <c r="N94" s="119"/>
      <c r="O94" s="119"/>
      <c r="P94" s="5"/>
      <c r="Q94" s="5"/>
      <c r="R94" s="5"/>
      <c r="S94" s="5"/>
      <c r="T94" s="5"/>
      <c r="U94" s="5"/>
      <c r="V94" s="5"/>
      <c r="W94" s="5"/>
      <c r="X94" s="5"/>
      <c r="Y94" s="5"/>
    </row>
    <row r="95" spans="1:25" x14ac:dyDescent="0.2">
      <c r="A95" s="119"/>
      <c r="B95" s="119"/>
      <c r="C95" s="119"/>
      <c r="D95" s="119"/>
      <c r="E95" s="119"/>
      <c r="F95" s="119"/>
      <c r="G95" s="591"/>
      <c r="H95" s="591"/>
      <c r="I95" s="591"/>
      <c r="J95" s="591"/>
      <c r="K95" s="591"/>
      <c r="L95" s="591"/>
      <c r="M95" s="588"/>
      <c r="N95" s="119"/>
      <c r="O95" s="119"/>
      <c r="P95" s="5"/>
      <c r="Q95" s="5"/>
      <c r="R95" s="5"/>
      <c r="S95" s="5"/>
      <c r="T95" s="5"/>
      <c r="U95" s="5"/>
      <c r="V95" s="5"/>
      <c r="W95" s="5"/>
      <c r="X95" s="5"/>
      <c r="Y95" s="5"/>
    </row>
    <row r="96" spans="1:25" x14ac:dyDescent="0.2">
      <c r="A96" s="119"/>
      <c r="B96" s="119"/>
      <c r="C96" s="119"/>
      <c r="D96" s="119"/>
      <c r="E96" s="119"/>
      <c r="F96" s="119"/>
      <c r="G96" s="589"/>
      <c r="H96" s="589"/>
      <c r="I96" s="589"/>
      <c r="J96" s="589"/>
      <c r="K96" s="589"/>
      <c r="L96" s="589"/>
      <c r="M96" s="119"/>
      <c r="N96" s="119"/>
      <c r="O96" s="119"/>
      <c r="P96" s="5"/>
      <c r="Q96" s="5"/>
      <c r="R96" s="5"/>
      <c r="S96" s="5"/>
      <c r="T96" s="5"/>
      <c r="U96" s="5"/>
      <c r="V96" s="5"/>
      <c r="W96" s="5"/>
      <c r="X96" s="5"/>
      <c r="Y96" s="5"/>
    </row>
    <row r="97" spans="1:25" x14ac:dyDescent="0.2">
      <c r="A97" s="119"/>
      <c r="B97" s="119"/>
      <c r="C97" s="119"/>
      <c r="D97" s="119"/>
      <c r="E97" s="119"/>
      <c r="F97" s="119"/>
      <c r="G97" s="119"/>
      <c r="H97" s="119"/>
      <c r="I97" s="119"/>
      <c r="J97" s="119"/>
      <c r="K97" s="119"/>
      <c r="L97" s="119"/>
      <c r="M97" s="119"/>
      <c r="N97" s="119"/>
      <c r="O97" s="119"/>
      <c r="P97" s="5"/>
      <c r="Q97" s="5"/>
      <c r="R97" s="5"/>
      <c r="S97" s="5"/>
      <c r="T97" s="5"/>
      <c r="U97" s="5"/>
      <c r="V97" s="5"/>
      <c r="W97" s="5"/>
      <c r="X97" s="5"/>
      <c r="Y97" s="5"/>
    </row>
    <row r="98" spans="1:25" x14ac:dyDescent="0.2">
      <c r="A98" s="119"/>
      <c r="B98" s="119"/>
      <c r="C98" s="119"/>
      <c r="D98" s="119"/>
      <c r="E98" s="119"/>
      <c r="F98" s="119"/>
      <c r="G98" s="119"/>
      <c r="H98" s="119"/>
      <c r="I98" s="119"/>
      <c r="J98" s="119"/>
      <c r="K98" s="119"/>
      <c r="L98" s="119"/>
      <c r="M98" s="119"/>
      <c r="N98" s="119"/>
      <c r="O98" s="119"/>
      <c r="P98" s="5"/>
      <c r="Q98" s="5"/>
      <c r="R98" s="5"/>
      <c r="S98" s="5"/>
      <c r="T98" s="5"/>
      <c r="U98" s="5"/>
      <c r="V98" s="5"/>
      <c r="W98" s="5"/>
      <c r="X98" s="5"/>
      <c r="Y98" s="5"/>
    </row>
    <row r="99" spans="1:25" x14ac:dyDescent="0.2">
      <c r="A99" s="119"/>
      <c r="B99" s="119"/>
      <c r="C99" s="119"/>
      <c r="D99" s="119"/>
      <c r="E99" s="119"/>
      <c r="F99" s="119"/>
      <c r="G99" s="588"/>
      <c r="H99" s="119"/>
      <c r="I99" s="119"/>
      <c r="J99" s="119"/>
      <c r="K99" s="119"/>
      <c r="L99" s="119"/>
      <c r="M99" s="119"/>
      <c r="N99" s="119"/>
      <c r="O99" s="119"/>
      <c r="P99" s="5"/>
      <c r="Q99" s="5"/>
      <c r="R99" s="5"/>
      <c r="S99" s="5"/>
      <c r="T99" s="5"/>
      <c r="U99" s="5"/>
      <c r="V99" s="5"/>
      <c r="W99" s="5"/>
      <c r="X99" s="5"/>
      <c r="Y99" s="5"/>
    </row>
    <row r="100" spans="1:25" x14ac:dyDescent="0.2">
      <c r="A100" s="5"/>
      <c r="B100" s="5"/>
      <c r="C100" s="5"/>
      <c r="D100" s="5"/>
      <c r="E100" s="5"/>
      <c r="F100" s="5"/>
      <c r="G100" s="587"/>
      <c r="H100" s="5"/>
      <c r="I100" s="5"/>
      <c r="J100" s="5"/>
      <c r="K100" s="5"/>
      <c r="L100" s="5"/>
      <c r="M100" s="5"/>
      <c r="N100" s="5"/>
      <c r="O100" s="5"/>
      <c r="P100" s="5"/>
      <c r="Q100" s="5"/>
      <c r="R100" s="5"/>
      <c r="S100" s="5"/>
      <c r="T100" s="5"/>
      <c r="U100" s="5"/>
      <c r="V100" s="5"/>
      <c r="W100" s="5"/>
      <c r="X100" s="5"/>
      <c r="Y100" s="5"/>
    </row>
    <row r="101" spans="1:25" ht="15.75" x14ac:dyDescent="0.25">
      <c r="A101" s="5"/>
      <c r="B101" s="5"/>
      <c r="C101" s="5"/>
      <c r="D101" s="5"/>
      <c r="E101" s="5"/>
      <c r="F101" s="5"/>
      <c r="G101" s="592"/>
      <c r="H101" s="5"/>
      <c r="I101" s="5"/>
      <c r="J101" s="5"/>
      <c r="K101" s="5"/>
      <c r="L101" s="5"/>
      <c r="M101" s="5"/>
      <c r="N101" s="5"/>
      <c r="O101" s="5"/>
      <c r="P101" s="5"/>
      <c r="Q101" s="5"/>
      <c r="R101" s="5"/>
      <c r="S101" s="5"/>
      <c r="T101" s="5"/>
      <c r="U101" s="5"/>
      <c r="V101" s="5"/>
      <c r="W101" s="5"/>
      <c r="X101" s="5"/>
      <c r="Y101" s="5"/>
    </row>
    <row r="102" spans="1:25"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row>
    <row r="103" spans="1:25"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row>
    <row r="104" spans="1:25"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row>
    <row r="105" spans="1:25"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row>
    <row r="106" spans="1:25"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row>
    <row r="107" spans="1:25"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row>
    <row r="108" spans="1:25"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row>
    <row r="109" spans="1:25"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row>
    <row r="110" spans="1:25"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row>
    <row r="111" spans="1:25"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row>
    <row r="112" spans="1:25"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row>
    <row r="200" ht="12.75" customHeight="1" x14ac:dyDescent="0.2"/>
  </sheetData>
  <mergeCells count="8">
    <mergeCell ref="B37:M37"/>
    <mergeCell ref="N26:O26"/>
    <mergeCell ref="B3:F3"/>
    <mergeCell ref="B25:M25"/>
    <mergeCell ref="H3:L3"/>
    <mergeCell ref="B15:F15"/>
    <mergeCell ref="H15:K16"/>
    <mergeCell ref="L15:L16"/>
  </mergeCells>
  <phoneticPr fontId="50" type="noConversion"/>
  <dataValidations xWindow="944" yWindow="378" count="1">
    <dataValidation errorStyle="warning" allowBlank="1" showInputMessage="1" showErrorMessage="1" errorTitle="KKKKK" error="DEV SER SEMPRE IGUAL A 100" sqref="B27:B36 B39:B44"/>
  </dataValidations>
  <pageMargins left="0.78740157480314965" right="0.78740157480314965" top="0.78740157480314965" bottom="0.78740157480314965" header="0.51181102362204722" footer="0.51181102362204722"/>
  <pageSetup scale="55" orientation="landscape" horizontalDpi="180" verticalDpi="180"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1"/>
  <dimension ref="A1:AJ2"/>
  <sheetViews>
    <sheetView showGridLines="0" workbookViewId="0"/>
  </sheetViews>
  <sheetFormatPr defaultRowHeight="12.75" x14ac:dyDescent="0.2"/>
  <cols>
    <col min="1" max="36" width="18.140625" customWidth="1"/>
  </cols>
  <sheetData>
    <row r="1" spans="1:36" s="2034" customFormat="1" ht="51" x14ac:dyDescent="0.2">
      <c r="A1" s="2034" t="str">
        <f>RESULTADOS!B3</f>
        <v>Produtor:</v>
      </c>
      <c r="B1" s="2034" t="str">
        <f>CADASTRO!B6</f>
        <v>Municipio / UF:</v>
      </c>
      <c r="C1" s="2034" t="str">
        <f>RESULTADOS!C7</f>
        <v>Área da UO (prop.+arrend.)</v>
      </c>
      <c r="D1" s="2034" t="str">
        <f>RESULTADOS!C8</f>
        <v>Área útil (prop.+arrend.)</v>
      </c>
      <c r="E1" s="2034" t="str">
        <f>RESULTADOS!C9</f>
        <v>Área do leite</v>
      </c>
      <c r="F1" s="2034" t="str">
        <f>RESULTADOS!C10</f>
        <v>Área média com Grãos</v>
      </c>
      <c r="G1" s="2034" t="str">
        <f>RESULTADOS!C11</f>
        <v>Área média com pastagens</v>
      </c>
      <c r="H1" s="2034" t="str">
        <f>RESULTADOS!C12</f>
        <v>Área de silagem*</v>
      </c>
      <c r="I1" s="2034" t="str">
        <f>RESULTADOS!B18</f>
        <v>Custo Operacional (desembolso):</v>
      </c>
      <c r="J1" s="2034" t="str">
        <f>RESULTADOS!B22</f>
        <v>Custo por litro (R$)</v>
      </c>
      <c r="K1" s="2034" t="str">
        <f>RESULTADOS!B24</f>
        <v>Preço por litro (R$)</v>
      </c>
      <c r="L1" s="2034" t="str">
        <f>RESULTADOS!B19</f>
        <v>Custo da pastagem (ha)</v>
      </c>
      <c r="M1" s="2034" t="str">
        <f>RESULTADOS!B20</f>
        <v>Custo do kg da silagem (R$)</v>
      </c>
      <c r="N1" s="2034" t="str">
        <f>RESULTADOS!C30</f>
        <v>Litros / dia</v>
      </c>
      <c r="O1" s="2034" t="str">
        <f>RESULTADOS!D30</f>
        <v>R$ / litro</v>
      </c>
      <c r="P1" s="2034" t="str">
        <f>RESULTADOS!B48</f>
        <v>Margem bruta do Leite (R$/ha/ano)</v>
      </c>
      <c r="Q1" s="2034" t="str">
        <f>RESULTADOS!B49</f>
        <v>Margem bruta de grãos (R$/ha/ano)</v>
      </c>
      <c r="R1" s="2034" t="str">
        <f>RESULTADOS!B50</f>
        <v>Margem bruta total (R$/ha/ano)</v>
      </c>
      <c r="S1" s="2034" t="str">
        <f>RESULTADOS!F8&amp;RESULTADOS!G7</f>
        <v>Vacas lactação44013</v>
      </c>
      <c r="T1" s="2034" t="str">
        <f>RESULTADOS!F8&amp;RESULTADOS!H7</f>
        <v>Vacas lactação44377</v>
      </c>
      <c r="U1" s="2034" t="str">
        <f>RESULTADOS!F20</f>
        <v>Consumo de silagem - vaca em lactação (Kg MV por dia)</v>
      </c>
      <c r="V1" s="2034" t="str">
        <f>RESULTADOS!F21</f>
        <v>Qtde de meses de fornecimento de silagem</v>
      </c>
      <c r="W1" s="2034" t="str">
        <f>RESULTADOS!F22</f>
        <v>Consumo de concentrado - vaca em lactação (Kg por dia)</v>
      </c>
      <c r="X1" s="2034" t="str">
        <f>RESULTADOS!F24</f>
        <v>Qtde de meses de fornecimento de concentrado</v>
      </c>
      <c r="Y1" s="2034" t="str">
        <f>RESULTADOS!F26</f>
        <v>Lotação animal (cabeças/ha)</v>
      </c>
      <c r="Z1" s="2034" t="str">
        <f>RESULTADOS!F28</f>
        <v>Relação concentrado / litro de leite (acima de 10 litros)*</v>
      </c>
      <c r="AA1" s="2034" t="str">
        <f>RESULTADOS!F37&amp;RESULTADOS!G36</f>
        <v>Produção de leite por diaAtual</v>
      </c>
      <c r="AB1" s="2034" t="str">
        <f>RESULTADOS!F39&amp;RESULTADOS!G36</f>
        <v>Produção de leite por vacaAtual</v>
      </c>
      <c r="AC1" s="2034" t="str">
        <f>RESULTADOS!F41&amp;RESULTADOS!G36</f>
        <v>Produção por ano (litros/ano/ha)Atual</v>
      </c>
      <c r="AD1" s="2034" t="str">
        <f>RESULTADOS!F37&amp;RESULTADOS!H36</f>
        <v>Produção de leite por diaMeta da família</v>
      </c>
      <c r="AE1" s="2034" t="str">
        <f>RESULTADOS!F39&amp;RESULTADOS!H36</f>
        <v>Produção de leite por vacaMeta da família</v>
      </c>
      <c r="AF1" s="2034" t="str">
        <f>RESULTADOS!F41&amp;RESULTADOS!H36</f>
        <v>Produção por ano (litros/ano/ha)Meta da família</v>
      </c>
      <c r="AG1" s="2034" t="str">
        <f>RESULTADOS!F47</f>
        <v>Margem bruta anual - Leite</v>
      </c>
      <c r="AH1" s="2034" t="str">
        <f>RESULTADOS!F48</f>
        <v>Margem bruta anual - Grãos</v>
      </c>
      <c r="AI1" s="2034" t="str">
        <f>RESULTADOS!F49</f>
        <v>Outras rendas (anual)</v>
      </c>
      <c r="AJ1" s="2034" t="str">
        <f>RESULTADOS!B52</f>
        <v>Margem bruta* (mensal)</v>
      </c>
    </row>
    <row r="2" spans="1:36" s="2035" customFormat="1" x14ac:dyDescent="0.2">
      <c r="A2" s="2035" t="str">
        <f>RESULTADOS!C3</f>
        <v>Digitar o nome</v>
      </c>
      <c r="B2" s="2035" t="str">
        <f>RESULTADOS!E3</f>
        <v>Digitar o município</v>
      </c>
      <c r="C2" s="2035">
        <f>RESULTADOS!D7</f>
        <v>0</v>
      </c>
      <c r="D2" s="2035">
        <f>RESULTADOS!D8</f>
        <v>0</v>
      </c>
      <c r="E2" s="2035">
        <f>RESULTADOS!D9</f>
        <v>0</v>
      </c>
      <c r="F2" s="2035">
        <f>RESULTADOS!D10</f>
        <v>0</v>
      </c>
      <c r="G2" s="2035">
        <f>RESULTADOS!D11</f>
        <v>0</v>
      </c>
      <c r="H2" s="2035">
        <f>RESULTADOS!D12</f>
        <v>0</v>
      </c>
      <c r="I2" s="2036">
        <f ca="1">RESULTADOS!D18</f>
        <v>0</v>
      </c>
      <c r="J2" s="2037" t="str">
        <f>RESULTADOS!D22</f>
        <v/>
      </c>
      <c r="K2" s="2038" t="str">
        <f>RESULTADOS!D24</f>
        <v/>
      </c>
      <c r="L2" s="2036">
        <f>RESULTADOS!D19</f>
        <v>0</v>
      </c>
      <c r="M2" s="2038" t="e">
        <f>RESULTADOS!D20</f>
        <v>#DIV/0!</v>
      </c>
      <c r="N2" s="2039">
        <f>RESULTADOS!C31</f>
        <v>0</v>
      </c>
      <c r="O2" s="2038" t="str">
        <f>RESULTADOS!D31</f>
        <v/>
      </c>
      <c r="P2" s="2036" t="str">
        <f>RESULTADOS!D48</f>
        <v/>
      </c>
      <c r="Q2" s="2036" t="str">
        <f>RESULTADOS!D49</f>
        <v/>
      </c>
      <c r="R2" s="2036" t="str">
        <f>RESULTADOS!D50</f>
        <v/>
      </c>
      <c r="S2" s="2036">
        <f>RESULTADOS!G8</f>
        <v>0</v>
      </c>
      <c r="T2" s="2036">
        <f>RESULTADOS!H8</f>
        <v>0</v>
      </c>
      <c r="U2" s="2038">
        <f>RESULTADOS!H20</f>
        <v>0</v>
      </c>
      <c r="V2" s="2038">
        <f>RESULTADOS!H21</f>
        <v>0</v>
      </c>
      <c r="W2" s="2038">
        <f>RESULTADOS!H22</f>
        <v>0</v>
      </c>
      <c r="X2" s="2038">
        <f>RESULTADOS!H24</f>
        <v>0</v>
      </c>
      <c r="Y2" s="2038">
        <f>RESULTADOS!H26</f>
        <v>0</v>
      </c>
      <c r="Z2" s="2038" t="e">
        <f>RESULTADOS!H28</f>
        <v>#VALUE!</v>
      </c>
      <c r="AA2" s="2036">
        <f>RESULTADOS!G37</f>
        <v>0</v>
      </c>
      <c r="AB2" s="2035" t="str">
        <f>RESULTADOS!G39</f>
        <v/>
      </c>
      <c r="AC2" s="2036" t="str">
        <f>RESULTADOS!G41</f>
        <v/>
      </c>
      <c r="AD2" s="2036">
        <f>RESULTADOS!H37</f>
        <v>0</v>
      </c>
      <c r="AE2" s="2036">
        <f>RESULTADOS!H39</f>
        <v>0</v>
      </c>
      <c r="AF2" s="2036" t="e">
        <f>RESULTADOS!H41</f>
        <v>#DIV/0!</v>
      </c>
      <c r="AG2" s="2036" t="e">
        <f>RESULTADOS!H47</f>
        <v>#VALUE!</v>
      </c>
      <c r="AH2" s="2036">
        <f ca="1">RESULTADOS!H48</f>
        <v>0</v>
      </c>
      <c r="AI2" s="2036">
        <f>RESULTADOS!H49</f>
        <v>0</v>
      </c>
      <c r="AJ2" s="2036" t="e">
        <f>RESULTADOS!D52</f>
        <v>#VALUE!</v>
      </c>
    </row>
  </sheetData>
  <sheetProtection algorithmName="SHA-512" hashValue="0wpEdTOicntudOErrCRqllbT5296EONf8vB6KO+nOHH0Z7/FP5SNdUB5Bgv4Bc6j3e4irMEUgoKOyxWO0jQiuQ==" saltValue="3dsd8B3TBkqjDdEud5o4Wg==" spinCount="100000" sheet="1" objects="1" scenarios="1"/>
  <pageMargins left="0.511811024" right="0.511811024" top="0.78740157499999996" bottom="0.78740157499999996" header="0.31496062000000002" footer="0.3149606200000000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2">
    <pageSetUpPr fitToPage="1"/>
  </sheetPr>
  <dimension ref="A1:BW32"/>
  <sheetViews>
    <sheetView zoomScaleNormal="100" workbookViewId="0">
      <selection activeCell="D4" sqref="D4"/>
    </sheetView>
  </sheetViews>
  <sheetFormatPr defaultRowHeight="15" x14ac:dyDescent="0.25"/>
  <cols>
    <col min="2" max="2" width="12.5703125" customWidth="1"/>
    <col min="3" max="3" width="10.7109375" customWidth="1"/>
    <col min="4" max="4" width="8.7109375" bestFit="1" customWidth="1"/>
    <col min="5" max="5" width="10.28515625" style="737" bestFit="1" customWidth="1"/>
    <col min="6" max="6" width="10.28515625" style="737" customWidth="1"/>
    <col min="7" max="8" width="11.5703125" style="737" customWidth="1"/>
    <col min="9" max="9" width="20.140625" style="738" customWidth="1"/>
    <col min="10" max="10" width="8.7109375" style="1104" customWidth="1"/>
    <col min="11" max="11" width="10" style="1104" customWidth="1"/>
    <col min="12" max="12" width="8.7109375" style="1104" customWidth="1"/>
    <col min="13" max="13" width="12.140625" style="1104" bestFit="1" customWidth="1"/>
    <col min="14" max="14" width="12.140625" style="1104" customWidth="1"/>
    <col min="15" max="15" width="12.28515625" style="739" bestFit="1" customWidth="1"/>
    <col min="16" max="16" width="7.28515625" style="739" bestFit="1" customWidth="1"/>
    <col min="17" max="23" width="10.7109375" style="739" customWidth="1"/>
    <col min="24" max="25" width="11.28515625" style="740" bestFit="1" customWidth="1"/>
    <col min="26" max="26" width="11.28515625" style="740" customWidth="1"/>
    <col min="27" max="27" width="9.140625" style="740" bestFit="1" customWidth="1"/>
    <col min="28" max="28" width="9.7109375" style="740" bestFit="1" customWidth="1"/>
    <col min="29" max="29" width="10.28515625" style="737" bestFit="1" customWidth="1"/>
    <col min="30" max="34" width="13" style="740" customWidth="1"/>
    <col min="35" max="35" width="27.140625" style="740" customWidth="1"/>
    <col min="36" max="39" width="13" style="740" customWidth="1"/>
    <col min="40" max="40" width="10.42578125" style="742" customWidth="1"/>
    <col min="41" max="42" width="11.7109375" style="742" customWidth="1"/>
    <col min="43" max="49" width="13.85546875" style="742" customWidth="1"/>
    <col min="50" max="50" width="12" style="742" customWidth="1"/>
    <col min="51" max="51" width="12.5703125" style="742" customWidth="1"/>
    <col min="52" max="55" width="12" style="742" customWidth="1"/>
    <col min="56" max="56" width="13.42578125" style="741" customWidth="1"/>
    <col min="57" max="57" width="13.28515625" style="741" customWidth="1"/>
    <col min="58" max="61" width="15.28515625" style="741" customWidth="1"/>
    <col min="62" max="62" width="12.28515625" style="740" customWidth="1"/>
    <col min="63" max="63" width="10.42578125" style="741" bestFit="1" customWidth="1"/>
    <col min="64" max="65" width="11.7109375" style="741" customWidth="1"/>
    <col min="66" max="66" width="14.7109375" customWidth="1"/>
    <col min="67" max="67" width="16.42578125" customWidth="1"/>
    <col min="72" max="72" width="12.7109375" customWidth="1"/>
    <col min="73" max="73" width="14.7109375" style="1363" customWidth="1"/>
    <col min="74" max="74" width="16.28515625" customWidth="1"/>
    <col min="75" max="75" width="14.140625" customWidth="1"/>
  </cols>
  <sheetData>
    <row r="1" spans="1:75" ht="15.75" thickBot="1" x14ac:dyDescent="0.3"/>
    <row r="2" spans="1:75" s="1316" customFormat="1" ht="91.15" customHeight="1" thickBot="1" x14ac:dyDescent="0.25">
      <c r="A2" s="1316" t="s">
        <v>406</v>
      </c>
      <c r="B2" s="1317" t="s">
        <v>453</v>
      </c>
      <c r="C2" s="1318" t="s">
        <v>479</v>
      </c>
      <c r="D2" s="1767" t="s">
        <v>454</v>
      </c>
      <c r="E2" s="1767" t="s">
        <v>455</v>
      </c>
      <c r="F2" s="1318" t="s">
        <v>456</v>
      </c>
      <c r="G2" s="1770" t="s">
        <v>652</v>
      </c>
      <c r="H2" s="1771" t="s">
        <v>535</v>
      </c>
      <c r="I2" s="1319" t="s">
        <v>658</v>
      </c>
      <c r="J2" s="1320" t="s">
        <v>457</v>
      </c>
      <c r="K2" s="1321" t="s">
        <v>458</v>
      </c>
      <c r="L2" s="1768" t="s">
        <v>609</v>
      </c>
      <c r="M2" s="1322" t="s">
        <v>459</v>
      </c>
      <c r="N2" s="1769" t="s">
        <v>620</v>
      </c>
      <c r="O2" s="1769" t="s">
        <v>460</v>
      </c>
      <c r="P2" s="1769" t="s">
        <v>461</v>
      </c>
      <c r="Q2" s="1769" t="s">
        <v>611</v>
      </c>
      <c r="R2" s="1323" t="s">
        <v>659</v>
      </c>
      <c r="S2" s="1323" t="s">
        <v>653</v>
      </c>
      <c r="T2" s="1322" t="s">
        <v>613</v>
      </c>
      <c r="U2" s="1322" t="s">
        <v>615</v>
      </c>
      <c r="V2" s="1322" t="s">
        <v>616</v>
      </c>
      <c r="W2" s="1322" t="s">
        <v>617</v>
      </c>
      <c r="X2" s="1324" t="s">
        <v>462</v>
      </c>
      <c r="Y2" s="1324" t="s">
        <v>463</v>
      </c>
      <c r="Z2" s="1325" t="s">
        <v>662</v>
      </c>
      <c r="AA2" s="1772" t="s">
        <v>464</v>
      </c>
      <c r="AB2" s="1324" t="s">
        <v>465</v>
      </c>
      <c r="AC2" s="1773" t="s">
        <v>466</v>
      </c>
      <c r="AD2" s="1772" t="s">
        <v>467</v>
      </c>
      <c r="AE2" s="1324" t="s">
        <v>621</v>
      </c>
      <c r="AF2" s="1324" t="s">
        <v>622</v>
      </c>
      <c r="AG2" s="1324" t="s">
        <v>623</v>
      </c>
      <c r="AH2" s="1311" t="s">
        <v>654</v>
      </c>
      <c r="AI2" s="1324" t="s">
        <v>624</v>
      </c>
      <c r="AJ2" s="1324" t="s">
        <v>625</v>
      </c>
      <c r="AK2" s="1324" t="s">
        <v>626</v>
      </c>
      <c r="AL2" s="1324" t="s">
        <v>627</v>
      </c>
      <c r="AM2" s="1324" t="s">
        <v>628</v>
      </c>
      <c r="AN2" s="1312" t="s">
        <v>629</v>
      </c>
      <c r="AO2" s="1312" t="s">
        <v>630</v>
      </c>
      <c r="AP2" s="1312" t="s">
        <v>631</v>
      </c>
      <c r="AQ2" s="1313" t="s">
        <v>505</v>
      </c>
      <c r="AR2" s="1313" t="s">
        <v>495</v>
      </c>
      <c r="AS2" s="1313" t="s">
        <v>496</v>
      </c>
      <c r="AT2" s="1313" t="s">
        <v>504</v>
      </c>
      <c r="AU2" s="1314" t="s">
        <v>507</v>
      </c>
      <c r="AV2" s="1314" t="s">
        <v>506</v>
      </c>
      <c r="AW2" s="1311" t="s">
        <v>655</v>
      </c>
      <c r="AX2" s="1313" t="s">
        <v>494</v>
      </c>
      <c r="AY2" s="1313" t="s">
        <v>497</v>
      </c>
      <c r="AZ2" s="1313" t="s">
        <v>498</v>
      </c>
      <c r="BA2" s="1313" t="s">
        <v>493</v>
      </c>
      <c r="BB2" s="1313" t="s">
        <v>497</v>
      </c>
      <c r="BC2" s="1313" t="s">
        <v>502</v>
      </c>
      <c r="BD2" s="1326" t="s">
        <v>499</v>
      </c>
      <c r="BE2" s="1326" t="s">
        <v>500</v>
      </c>
      <c r="BF2" s="1326" t="s">
        <v>501</v>
      </c>
      <c r="BG2" s="1327" t="s">
        <v>512</v>
      </c>
      <c r="BH2" s="1315" t="s">
        <v>656</v>
      </c>
      <c r="BI2" s="1327" t="s">
        <v>508</v>
      </c>
      <c r="BJ2" s="1328" t="s">
        <v>509</v>
      </c>
      <c r="BK2" s="1326" t="s">
        <v>510</v>
      </c>
      <c r="BL2" s="1326" t="s">
        <v>511</v>
      </c>
      <c r="BM2" s="1311" t="s">
        <v>657</v>
      </c>
      <c r="BN2" s="1329" t="s">
        <v>468</v>
      </c>
      <c r="BO2" s="1330" t="s">
        <v>667</v>
      </c>
      <c r="BP2" s="1331" t="s">
        <v>558</v>
      </c>
      <c r="BQ2" s="1331" t="s">
        <v>559</v>
      </c>
      <c r="BR2" s="1331" t="s">
        <v>560</v>
      </c>
      <c r="BS2" s="1331" t="s">
        <v>666</v>
      </c>
      <c r="BU2" s="1365" t="s">
        <v>672</v>
      </c>
      <c r="BV2" s="1366" t="s">
        <v>668</v>
      </c>
      <c r="BW2" s="1366" t="s">
        <v>669</v>
      </c>
    </row>
    <row r="3" spans="1:75" s="207" customFormat="1" x14ac:dyDescent="0.25">
      <c r="B3" s="1332" t="s">
        <v>478</v>
      </c>
      <c r="C3" s="1332" t="s">
        <v>480</v>
      </c>
      <c r="D3" s="849" t="s">
        <v>469</v>
      </c>
      <c r="E3" s="849" t="s">
        <v>470</v>
      </c>
      <c r="F3" s="849" t="s">
        <v>471</v>
      </c>
      <c r="G3" s="849" t="s">
        <v>534</v>
      </c>
      <c r="H3" s="849" t="s">
        <v>536</v>
      </c>
      <c r="I3" s="850"/>
      <c r="J3" s="1333" t="s">
        <v>469</v>
      </c>
      <c r="K3" s="1105" t="s">
        <v>469</v>
      </c>
      <c r="L3" s="1105" t="s">
        <v>469</v>
      </c>
      <c r="M3" s="1105" t="s">
        <v>469</v>
      </c>
      <c r="N3" s="1105" t="s">
        <v>619</v>
      </c>
      <c r="O3" s="1334" t="s">
        <v>472</v>
      </c>
      <c r="P3" s="1334" t="s">
        <v>472</v>
      </c>
      <c r="Q3" s="1334" t="s">
        <v>612</v>
      </c>
      <c r="R3" s="1334" t="s">
        <v>660</v>
      </c>
      <c r="S3" s="1334" t="s">
        <v>661</v>
      </c>
      <c r="T3" s="1334" t="s">
        <v>614</v>
      </c>
      <c r="U3" s="1334" t="s">
        <v>614</v>
      </c>
      <c r="V3" s="1334" t="s">
        <v>614</v>
      </c>
      <c r="W3" s="1334" t="s">
        <v>618</v>
      </c>
      <c r="X3" s="1108" t="s">
        <v>473</v>
      </c>
      <c r="Y3" s="1108" t="s">
        <v>473</v>
      </c>
      <c r="Z3" s="1108" t="s">
        <v>88</v>
      </c>
      <c r="AA3" s="1108" t="s">
        <v>274</v>
      </c>
      <c r="AB3" s="1108" t="s">
        <v>274</v>
      </c>
      <c r="AC3" s="1335" t="s">
        <v>369</v>
      </c>
      <c r="AD3" s="1108" t="s">
        <v>474</v>
      </c>
      <c r="AE3" s="1108" t="s">
        <v>87</v>
      </c>
      <c r="AF3" s="1108" t="s">
        <v>87</v>
      </c>
      <c r="AG3" s="1108" t="s">
        <v>87</v>
      </c>
      <c r="AH3" s="1108" t="s">
        <v>87</v>
      </c>
      <c r="AI3" s="1108" t="s">
        <v>87</v>
      </c>
      <c r="AJ3" s="1108" t="s">
        <v>87</v>
      </c>
      <c r="AK3" s="1108" t="s">
        <v>87</v>
      </c>
      <c r="AL3" s="1108" t="s">
        <v>87</v>
      </c>
      <c r="AM3" s="1108" t="s">
        <v>87</v>
      </c>
      <c r="AN3" s="1305" t="s">
        <v>475</v>
      </c>
      <c r="AO3" s="1305" t="s">
        <v>87</v>
      </c>
      <c r="AP3" s="1305"/>
      <c r="AQ3" s="1305" t="s">
        <v>87</v>
      </c>
      <c r="AR3" s="1305" t="s">
        <v>87</v>
      </c>
      <c r="AS3" s="1305" t="s">
        <v>87</v>
      </c>
      <c r="AT3" s="1305" t="s">
        <v>87</v>
      </c>
      <c r="AU3" s="1305"/>
      <c r="AV3" s="1306" t="s">
        <v>87</v>
      </c>
      <c r="AW3" s="1305" t="s">
        <v>88</v>
      </c>
      <c r="AX3" s="1305" t="s">
        <v>87</v>
      </c>
      <c r="AY3" s="1305" t="s">
        <v>87</v>
      </c>
      <c r="AZ3" s="1305" t="s">
        <v>87</v>
      </c>
      <c r="BA3" s="1305" t="s">
        <v>88</v>
      </c>
      <c r="BB3" s="1336" t="s">
        <v>88</v>
      </c>
      <c r="BC3" s="1336" t="s">
        <v>88</v>
      </c>
      <c r="BD3" s="1305" t="s">
        <v>87</v>
      </c>
      <c r="BE3" s="1305" t="s">
        <v>87</v>
      </c>
      <c r="BF3" s="1305" t="s">
        <v>87</v>
      </c>
      <c r="BG3" s="1305" t="s">
        <v>87</v>
      </c>
      <c r="BH3" s="1305" t="s">
        <v>88</v>
      </c>
      <c r="BI3" s="1305" t="s">
        <v>88</v>
      </c>
      <c r="BJ3" s="1337" t="s">
        <v>59</v>
      </c>
      <c r="BK3" s="1305" t="s">
        <v>87</v>
      </c>
      <c r="BL3" s="1305" t="s">
        <v>87</v>
      </c>
      <c r="BM3" s="1305" t="s">
        <v>88</v>
      </c>
      <c r="BN3" s="1338" t="s">
        <v>476</v>
      </c>
      <c r="BO3" s="1338" t="s">
        <v>477</v>
      </c>
      <c r="BP3" s="1339" t="s">
        <v>88</v>
      </c>
      <c r="BQ3" s="1339" t="s">
        <v>88</v>
      </c>
      <c r="BR3" s="1339" t="s">
        <v>88</v>
      </c>
      <c r="BS3" s="1339" t="s">
        <v>87</v>
      </c>
      <c r="BU3" s="1367" t="s">
        <v>87</v>
      </c>
      <c r="BV3" s="616"/>
      <c r="BW3" s="616"/>
    </row>
    <row r="4" spans="1:75" s="1340" customFormat="1" x14ac:dyDescent="0.25">
      <c r="A4" s="1340" t="str">
        <f>CADASTRO!C6</f>
        <v>Digitar o município</v>
      </c>
      <c r="B4" s="1332" t="str">
        <f>CADASTRO!C4</f>
        <v>Digitar o nome</v>
      </c>
      <c r="C4" s="1341"/>
      <c r="D4" s="1342">
        <f>SOLO!I43+SUM(SOLO!G45:G49)</f>
        <v>0</v>
      </c>
      <c r="E4" s="1342">
        <f>SOLO!I43</f>
        <v>0</v>
      </c>
      <c r="F4" s="1342">
        <f>M.oBRA!F18</f>
        <v>0</v>
      </c>
      <c r="G4" s="1342">
        <f>M.oBRA!F19</f>
        <v>0</v>
      </c>
      <c r="H4" s="1342" t="e">
        <f>(M.oBRA!D9+M.oBRA!D10)/COUNT(M.oBRA!D9:D10)</f>
        <v>#DIV/0!</v>
      </c>
      <c r="I4" s="850">
        <f>CADASTRO!C16</f>
        <v>0</v>
      </c>
      <c r="J4" s="1343">
        <f>'G. RESULT. TEC.  AREA LEITE'!B10</f>
        <v>0</v>
      </c>
      <c r="K4" s="1343">
        <f>'G. RESULT. TEC.  AREA LEITE'!C10</f>
        <v>0</v>
      </c>
      <c r="L4" s="1344">
        <f>'G. RESULT. TEC.  AREA LEITE'!D10</f>
        <v>0</v>
      </c>
      <c r="M4" s="1343">
        <f>'G. RESULT. TEC.  AREA LEITE'!B8</f>
        <v>0</v>
      </c>
      <c r="N4" s="1343">
        <f>(('G. RESULT. TEC.  AREA LEITE'!B7+'G. RESULT. TEC.  AREA LEITE'!B8)+('G. RESULT. TEC.  AREA LEITE'!C7+'G. RESULT. TEC.  AREA LEITE'!C8))/2</f>
        <v>0</v>
      </c>
      <c r="O4" s="1345">
        <f>REBANHO!C17</f>
        <v>0</v>
      </c>
      <c r="P4" s="1334">
        <f>REBANHO!C8+REBANHO!C9</f>
        <v>0</v>
      </c>
      <c r="Q4" s="1346" t="e">
        <f>O4/L4</f>
        <v>#DIV/0!</v>
      </c>
      <c r="R4" s="1347" t="e">
        <f>P4/O4</f>
        <v>#DIV/0!</v>
      </c>
      <c r="S4" s="1346">
        <f>REBANHO!F25</f>
        <v>0</v>
      </c>
      <c r="T4" s="1346" t="e">
        <f>REBANHO!F25/'G. RESULT. TEC.  AREA LEITE'!D10</f>
        <v>#DIV/0!</v>
      </c>
      <c r="U4" s="1346" t="e">
        <f>'G. RESULT. TEC.  AREA LEITE'!B15</f>
        <v>#DIV/0!</v>
      </c>
      <c r="V4" s="1346" t="e">
        <f>'G. RESULT. TEC.  AREA LEITE'!C15</f>
        <v>#DIV/0!</v>
      </c>
      <c r="W4" s="1346" t="e">
        <f>REBANHO!F25/N4</f>
        <v>#DIV/0!</v>
      </c>
      <c r="X4" s="1108">
        <f>'B. resultados tecnicos leite'!C17</f>
        <v>0</v>
      </c>
      <c r="Y4" s="1108">
        <f>'B. resultados tecnicos leite'!C18</f>
        <v>0</v>
      </c>
      <c r="Z4" s="1108" t="e">
        <f>Y4/AB4</f>
        <v>#DIV/0!</v>
      </c>
      <c r="AA4" s="1108">
        <f>'B. resultados tecnicos leite'!C21</f>
        <v>0</v>
      </c>
      <c r="AB4" s="1108" t="e">
        <f>'B. resultados tecnicos leite'!C21/'B. resultados tecnicos leite'!C25</f>
        <v>#DIV/0!</v>
      </c>
      <c r="AC4" s="1335" t="e">
        <f>'B. resultados tecnicos leite'!C21/'B. resultados tecnicos leite'!C25/365</f>
        <v>#DIV/0!</v>
      </c>
      <c r="AD4" s="1108" t="e">
        <f>'B. resultados tecnicos leite'!C21/(('B. resultados tecnicos leite'!B8+'B. resultados tecnicos leite'!C8)/2)</f>
        <v>#DIV/0!</v>
      </c>
      <c r="AE4" s="1348" t="e">
        <f>'F. resultad econ. glob. detalh'!B21/SOLO!I43</f>
        <v>#VALUE!</v>
      </c>
      <c r="AF4" s="1349" t="e">
        <f>'F. resultad econ. glob. detalh'!B16/SOLO!I43</f>
        <v>#DIV/0!</v>
      </c>
      <c r="AG4" s="1348" t="e">
        <f>'F. resultad econ. glob. detalh'!B22/SOLO!I43</f>
        <v>#VALUE!</v>
      </c>
      <c r="AH4" s="1348" t="e">
        <f>('F. resultad econ. glob. detalh'!B22/M.oBRA!F19)/13</f>
        <v>#VALUE!</v>
      </c>
      <c r="AI4" s="1348" t="e">
        <f ca="1">'F. resultad econ. glob. detalh'!B67/'G. RESULT. TEC.  AREA LEITE'!D10</f>
        <v>#DIV/0!</v>
      </c>
      <c r="AJ4" s="1348" t="e">
        <f>'F. resultad econ. glob. detalh'!B63/'G. RESULT. TEC.  AREA LEITE'!D10</f>
        <v>#DIV/0!</v>
      </c>
      <c r="AK4" s="1348" t="e">
        <f ca="1">'F. resultad econ. glob. detalh'!B68/'G. RESULT. TEC.  AREA LEITE'!D10</f>
        <v>#DIV/0!</v>
      </c>
      <c r="AL4" s="1348" t="e">
        <f ca="1">'F. resultad econ. glob. detalh'!B68/'B. resultados tecnicos leite'!C25</f>
        <v>#DIV/0!</v>
      </c>
      <c r="AM4" s="1350" t="e">
        <f ca="1">'F. resultad econ. glob. detalh'!B68/' RESULT. DETALHE CUSTO LEITE'!F9</f>
        <v>#DIV/0!</v>
      </c>
      <c r="AN4" s="1309">
        <f ca="1">'F. resultad econ. glob. detalh'!B68/13</f>
        <v>813.55769230769226</v>
      </c>
      <c r="AO4" s="1309" t="e">
        <f ca="1">('F. resultad econ. glob. detalh'!B68/M.oBRA!F18)/13</f>
        <v>#DIV/0!</v>
      </c>
      <c r="AP4" s="1309" t="e">
        <f ca="1">('F. resultad econ. glob. detalh'!B68/M.oBRA!F19)/13</f>
        <v>#DIV/0!</v>
      </c>
      <c r="AQ4" s="1310" t="e">
        <f ca="1">' RESULT. DETALHE CUSTO LEITE'!C68/'B. resultados tecnicos leite'!C25</f>
        <v>#DIV/0!</v>
      </c>
      <c r="AR4" s="1310" t="e">
        <f>' RESULT. DETALHE CUSTO LEITE'!D68/'B. resultados tecnicos leite'!C25</f>
        <v>#DIV/0!</v>
      </c>
      <c r="AS4" s="1310" t="e">
        <f ca="1">' RESULT. DETALHE CUSTO LEITE'!C38/'B. resultados tecnicos leite'!C25</f>
        <v>#DIV/0!</v>
      </c>
      <c r="AT4" s="1308" t="e">
        <f ca="1">' RESULT. DETALHE CUSTO LEITE'!D31</f>
        <v>#DIV/0!</v>
      </c>
      <c r="AU4" s="1307" t="e">
        <f>' RESULT. DETALHE CUSTO LEITE'!D36</f>
        <v>#DIV/0!</v>
      </c>
      <c r="AV4" s="1307" t="e">
        <f ca="1">' RESULT. DETALHE CUSTO LEITE'!D38</f>
        <v>#DIV/0!</v>
      </c>
      <c r="AW4" s="1308" t="e">
        <f ca="1">AU4/AV4</f>
        <v>#DIV/0!</v>
      </c>
      <c r="AX4" s="1351" t="e">
        <f ca="1">' RESULT. DETALHE CUSTO LEITE'!C54/P4</f>
        <v>#DIV/0!</v>
      </c>
      <c r="AY4" s="1352" t="e">
        <f>' RESULT. DETALHE CUSTO LEITE'!D54/P4</f>
        <v>#DIV/0!</v>
      </c>
      <c r="AZ4" s="1351" t="e">
        <f ca="1">' RESULT. DETALHE CUSTO LEITE'!E54/'B. resultados tecnicos leite'!C25</f>
        <v>#DIV/0!</v>
      </c>
      <c r="BA4" s="1353">
        <f ca="1">' RESULT. DETALHE CUSTO LEITE'!C55</f>
        <v>0</v>
      </c>
      <c r="BB4" s="1353">
        <f ca="1">' RESULT. DETALHE CUSTO LEITE'!D55</f>
        <v>6.0827250608272508E-2</v>
      </c>
      <c r="BC4" s="1353">
        <f ca="1">BA4+BB4</f>
        <v>6.0827250608272508E-2</v>
      </c>
      <c r="BD4" s="1306" t="e">
        <f ca="1">(' RESULT. DETALHE CUSTO LEITE'!C51+' RESULT. DETALHE CUSTO LEITE'!C52)/P4</f>
        <v>#DIV/0!</v>
      </c>
      <c r="BE4" s="1306" t="e">
        <f>' RESULT. DETALHE CUSTO LEITE'!D51/P4</f>
        <v>#DIV/0!</v>
      </c>
      <c r="BF4" s="1306" t="e">
        <f ca="1">BD4+BE4</f>
        <v>#DIV/0!</v>
      </c>
      <c r="BG4" s="1306" t="e">
        <f ca="1">(' RESULT. DETALHE CUSTO LEITE'!E51+' RESULT. DETALHE CUSTO LEITE'!E52)/' RESULT. DETALHE CUSTO LEITE'!F8</f>
        <v>#DIV/0!</v>
      </c>
      <c r="BH4" s="1354" t="e">
        <f ca="1">BG4/AV4</f>
        <v>#DIV/0!</v>
      </c>
      <c r="BI4" s="1355" t="e">
        <f ca="1">BF4/AZ4</f>
        <v>#DIV/0!</v>
      </c>
      <c r="BJ4" s="1356">
        <f>'B. resultados tecnicos leite'!C39</f>
        <v>0</v>
      </c>
      <c r="BK4" s="1306" t="e">
        <f ca="1">' RESULT. DETALHE CUSTO LEITE'!E50/'B. resultados tecnicos leite'!C25</f>
        <v>#DIV/0!</v>
      </c>
      <c r="BL4" s="1306" t="e">
        <f ca="1">' RESULT. DETALHE CUSTO LEITE'!E50/' RESULT. DETALHE CUSTO LEITE'!F8</f>
        <v>#DIV/0!</v>
      </c>
      <c r="BM4" s="1306" t="e">
        <f ca="1">(BG4+BL4)/AV4</f>
        <v>#DIV/0!</v>
      </c>
      <c r="BN4" s="1357" t="e">
        <f>'B. resultados tecnicos leite'!C36</f>
        <v>#DIV/0!</v>
      </c>
      <c r="BO4" s="1338" t="e">
        <f>'B. resultados tecnicos leite'!C37</f>
        <v>#DIV/0!</v>
      </c>
      <c r="BP4" s="1358" t="e">
        <f>'B. resultados tecnicos leite'!C61</f>
        <v>#DIV/0!</v>
      </c>
      <c r="BQ4" s="1358" t="e">
        <f>'B. resultados tecnicos leite'!C62</f>
        <v>#DIV/0!</v>
      </c>
      <c r="BR4" s="1359" t="e">
        <f>'B. resultados tecnicos leite'!C63</f>
        <v>#DIV/0!</v>
      </c>
      <c r="BS4" s="1360" t="str">
        <f>PRODUÇÃO!D26</f>
        <v/>
      </c>
      <c r="BU4" s="1370">
        <f>'L. simulador preço'!B5</f>
        <v>0</v>
      </c>
      <c r="BV4" s="1368" t="e">
        <f ca="1">('F. resultad econ. glob. detalh'!B68-('F. resultad econ. glob. detalh'!B30-PRODUÇÃO!C39*'E. TOTAL'!BU4))/L4</f>
        <v>#DIV/0!</v>
      </c>
      <c r="BW4" s="1369" t="e">
        <f ca="1">1-(BV4/AK4)</f>
        <v>#DIV/0!</v>
      </c>
    </row>
    <row r="5" spans="1:75" s="1758" customFormat="1" ht="12.75" x14ac:dyDescent="0.2">
      <c r="D5" s="1759">
        <v>1</v>
      </c>
      <c r="E5" s="1759">
        <v>2</v>
      </c>
      <c r="G5" s="1759">
        <v>2</v>
      </c>
      <c r="H5" s="1759">
        <v>1</v>
      </c>
      <c r="L5" s="1758">
        <v>2</v>
      </c>
      <c r="N5" s="1758">
        <v>2</v>
      </c>
      <c r="O5" s="1758">
        <v>1</v>
      </c>
      <c r="P5" s="1758">
        <v>1</v>
      </c>
      <c r="Q5" s="1758">
        <v>1</v>
      </c>
      <c r="AA5" s="1758">
        <v>1</v>
      </c>
      <c r="AC5" s="1758">
        <v>1</v>
      </c>
      <c r="AD5" s="1758">
        <v>1</v>
      </c>
      <c r="AE5" s="1758">
        <v>1</v>
      </c>
      <c r="AM5" s="1758">
        <v>1</v>
      </c>
      <c r="AN5" s="1760">
        <v>1</v>
      </c>
      <c r="AO5" s="1760"/>
      <c r="AP5" s="1760"/>
      <c r="AQ5" s="1760"/>
      <c r="AR5" s="1760"/>
      <c r="AS5" s="1760"/>
      <c r="AT5" s="1760">
        <v>1</v>
      </c>
      <c r="AX5" s="1760"/>
      <c r="AY5" s="1760"/>
      <c r="AZ5" s="1760"/>
      <c r="BA5" s="1760"/>
      <c r="BB5" s="1760"/>
      <c r="BC5" s="1760"/>
      <c r="BD5" s="1760">
        <v>1</v>
      </c>
      <c r="BE5" s="1760"/>
      <c r="BF5" s="1760"/>
      <c r="BG5" s="1760"/>
      <c r="BH5" s="1760"/>
      <c r="BI5" s="1760"/>
      <c r="BJ5" s="1760">
        <v>1</v>
      </c>
      <c r="BK5" s="1760"/>
      <c r="BL5" s="1760"/>
      <c r="BM5" s="1760"/>
      <c r="BN5" s="1760"/>
      <c r="BO5" s="1760"/>
      <c r="BP5" s="1760"/>
      <c r="BQ5" s="1760"/>
      <c r="BR5" s="1760"/>
      <c r="BS5" s="1760"/>
      <c r="BU5" s="1761"/>
    </row>
    <row r="6" spans="1:75" ht="12.75" x14ac:dyDescent="0.2">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s="1104"/>
      <c r="AY6" s="1104"/>
      <c r="AZ6" s="1104"/>
      <c r="BA6" s="1104"/>
      <c r="BB6" s="1104"/>
      <c r="BC6" s="1104"/>
      <c r="BD6" s="1104"/>
      <c r="BE6" s="1104"/>
      <c r="BF6" s="1104"/>
      <c r="BG6" s="1104"/>
      <c r="BH6" s="1104"/>
      <c r="BI6" s="1104"/>
      <c r="BJ6" s="1104"/>
      <c r="BK6" s="1104"/>
      <c r="BL6" s="1104"/>
      <c r="BM6" s="1104"/>
      <c r="BN6" s="1104"/>
      <c r="BO6" s="1104"/>
      <c r="BP6" s="1104"/>
      <c r="BQ6" s="1104"/>
      <c r="BR6" s="1104"/>
      <c r="BS6" s="1104"/>
    </row>
    <row r="7" spans="1:75" ht="19.149999999999999" customHeight="1" x14ac:dyDescent="0.2">
      <c r="E7"/>
      <c r="F7"/>
      <c r="G7"/>
      <c r="H7"/>
      <c r="I7"/>
      <c r="J7"/>
      <c r="K7"/>
      <c r="L7"/>
      <c r="M7"/>
      <c r="N7"/>
      <c r="O7"/>
      <c r="P7"/>
      <c r="Q7"/>
      <c r="R7"/>
      <c r="S7"/>
      <c r="T7"/>
      <c r="U7"/>
      <c r="V7"/>
      <c r="W7"/>
      <c r="X7"/>
      <c r="Y7"/>
      <c r="Z7"/>
      <c r="AA7"/>
      <c r="AB7"/>
      <c r="AC7"/>
      <c r="AD7" s="1762"/>
      <c r="AE7"/>
      <c r="AF7"/>
      <c r="AG7"/>
      <c r="AH7"/>
      <c r="AI7"/>
      <c r="AJ7" s="1361"/>
      <c r="AK7"/>
      <c r="AL7"/>
      <c r="AM7"/>
      <c r="AN7"/>
      <c r="AO7"/>
      <c r="AP7"/>
      <c r="AQ7"/>
      <c r="AR7"/>
      <c r="AS7"/>
      <c r="AT7"/>
      <c r="AU7"/>
      <c r="AV7"/>
      <c r="AW7"/>
      <c r="AX7"/>
      <c r="AY7"/>
      <c r="AZ7" s="207"/>
      <c r="BA7"/>
      <c r="BB7"/>
      <c r="BC7"/>
      <c r="BD7"/>
      <c r="BE7"/>
      <c r="BF7"/>
      <c r="BG7"/>
      <c r="BH7"/>
      <c r="BI7"/>
      <c r="BJ7"/>
      <c r="BK7"/>
      <c r="BL7"/>
      <c r="BM7"/>
    </row>
    <row r="8" spans="1:75" ht="12.75" x14ac:dyDescent="0.2">
      <c r="E8"/>
      <c r="F8"/>
      <c r="G8"/>
      <c r="H8"/>
      <c r="I8"/>
      <c r="J8"/>
      <c r="K8"/>
      <c r="L8"/>
      <c r="M8"/>
      <c r="N8"/>
      <c r="O8"/>
      <c r="P8"/>
      <c r="Q8"/>
      <c r="R8"/>
      <c r="S8"/>
      <c r="T8"/>
      <c r="U8"/>
      <c r="V8"/>
      <c r="W8"/>
      <c r="X8"/>
      <c r="Y8"/>
      <c r="Z8"/>
      <c r="AA8"/>
      <c r="AB8"/>
      <c r="AC8"/>
      <c r="AD8"/>
      <c r="AE8"/>
      <c r="AF8"/>
      <c r="AG8"/>
      <c r="AH8"/>
      <c r="AI8"/>
      <c r="AJ8" s="1362"/>
      <c r="AK8"/>
      <c r="AL8"/>
      <c r="AM8"/>
      <c r="AN8"/>
      <c r="AO8"/>
      <c r="AP8"/>
      <c r="AQ8"/>
      <c r="AR8"/>
      <c r="AS8"/>
      <c r="AT8"/>
      <c r="AU8"/>
      <c r="AV8"/>
      <c r="AW8"/>
      <c r="AX8"/>
      <c r="AY8"/>
      <c r="AZ8"/>
      <c r="BA8"/>
      <c r="BB8"/>
      <c r="BC8"/>
      <c r="BD8"/>
      <c r="BE8"/>
      <c r="BF8"/>
      <c r="BG8"/>
      <c r="BH8"/>
      <c r="BI8"/>
      <c r="BJ8"/>
      <c r="BK8"/>
      <c r="BL8"/>
      <c r="BM8"/>
    </row>
    <row r="9" spans="1:75" ht="12.75" x14ac:dyDescent="0.2">
      <c r="E9"/>
      <c r="F9"/>
      <c r="G9"/>
      <c r="H9"/>
      <c r="I9"/>
      <c r="J9"/>
      <c r="K9"/>
      <c r="L9"/>
      <c r="M9"/>
      <c r="N9"/>
      <c r="O9"/>
      <c r="P9"/>
      <c r="Q9"/>
      <c r="R9"/>
      <c r="S9"/>
      <c r="T9"/>
      <c r="U9"/>
      <c r="V9"/>
      <c r="W9"/>
      <c r="X9"/>
      <c r="Y9"/>
      <c r="Z9"/>
      <c r="AA9"/>
      <c r="AB9"/>
      <c r="AC9"/>
      <c r="AD9"/>
      <c r="AE9"/>
      <c r="AF9"/>
      <c r="AG9"/>
      <c r="AH9"/>
      <c r="AI9"/>
      <c r="AJ9" s="1361"/>
      <c r="AK9"/>
      <c r="AL9"/>
      <c r="AM9"/>
      <c r="AN9"/>
      <c r="AO9"/>
      <c r="AP9"/>
      <c r="AQ9"/>
      <c r="AR9"/>
      <c r="AS9"/>
      <c r="AT9"/>
      <c r="AU9"/>
      <c r="AV9"/>
      <c r="AW9"/>
      <c r="AX9"/>
      <c r="AY9"/>
      <c r="AZ9"/>
      <c r="BA9"/>
      <c r="BB9"/>
      <c r="BC9"/>
      <c r="BD9"/>
      <c r="BE9"/>
      <c r="BF9"/>
      <c r="BG9"/>
      <c r="BH9"/>
      <c r="BI9"/>
      <c r="BJ9"/>
      <c r="BK9"/>
      <c r="BL9"/>
      <c r="BM9"/>
    </row>
    <row r="10" spans="1:75" ht="12.75" x14ac:dyDescent="0.2">
      <c r="E10"/>
      <c r="F10"/>
      <c r="G10"/>
      <c r="H10"/>
      <c r="I10"/>
      <c r="J10"/>
      <c r="K10"/>
      <c r="L10"/>
      <c r="M10"/>
      <c r="N10"/>
      <c r="O10"/>
      <c r="P10"/>
      <c r="Q10"/>
      <c r="R10"/>
      <c r="S10"/>
      <c r="T10"/>
      <c r="U10"/>
      <c r="V10"/>
      <c r="W10"/>
      <c r="X10"/>
      <c r="Y10"/>
      <c r="Z10"/>
      <c r="AA10"/>
      <c r="AB10"/>
      <c r="AC10"/>
      <c r="AD10"/>
      <c r="AE10"/>
      <c r="AF10"/>
      <c r="AG10"/>
      <c r="AH10"/>
      <c r="AI10"/>
      <c r="AJ10" s="61"/>
      <c r="AK10"/>
      <c r="AL10"/>
      <c r="AM10"/>
      <c r="AN10"/>
      <c r="AO10"/>
      <c r="AP10"/>
      <c r="AQ10"/>
      <c r="AR10"/>
      <c r="AS10"/>
      <c r="AT10"/>
      <c r="AU10"/>
      <c r="AV10"/>
      <c r="AW10"/>
      <c r="AX10"/>
      <c r="AY10"/>
      <c r="AZ10"/>
      <c r="BA10"/>
      <c r="BB10"/>
      <c r="BC10"/>
      <c r="BD10"/>
      <c r="BE10"/>
      <c r="BF10"/>
      <c r="BG10"/>
      <c r="BH10"/>
      <c r="BI10"/>
      <c r="BJ10"/>
      <c r="BK10"/>
      <c r="BL10"/>
      <c r="BM10"/>
    </row>
    <row r="11" spans="1:75" ht="12.75" x14ac:dyDescent="0.2">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row>
    <row r="12" spans="1:75" ht="12.75" x14ac:dyDescent="0.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row>
    <row r="13" spans="1:75" ht="12.75" x14ac:dyDescent="0.2">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V13" s="1361"/>
    </row>
    <row r="14" spans="1:75" ht="12.75" x14ac:dyDescent="0.2">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V14" s="1363"/>
    </row>
    <row r="15" spans="1:75" ht="12.75" x14ac:dyDescent="0.2">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V15" s="1363"/>
    </row>
    <row r="16" spans="1:75" ht="12.75" x14ac:dyDescent="0.2">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row>
    <row r="17" spans="4:73" s="207" customFormat="1" x14ac:dyDescent="0.25">
      <c r="D17" s="849"/>
      <c r="E17" s="849"/>
      <c r="F17" s="849"/>
      <c r="G17" s="849"/>
      <c r="H17" s="849"/>
      <c r="I17" s="857"/>
      <c r="J17" s="1105"/>
      <c r="K17" s="1105"/>
      <c r="L17" s="1106"/>
      <c r="M17" s="1105"/>
      <c r="N17" s="1105"/>
      <c r="O17" s="851"/>
      <c r="P17" s="851"/>
      <c r="Q17" s="851"/>
      <c r="R17" s="851"/>
      <c r="S17" s="851"/>
      <c r="T17" s="851"/>
      <c r="U17" s="851"/>
      <c r="V17" s="851"/>
      <c r="W17" s="851"/>
      <c r="X17" s="852"/>
      <c r="Y17" s="852"/>
      <c r="Z17" s="852"/>
      <c r="AA17" s="852"/>
      <c r="AB17" s="852"/>
      <c r="AC17" s="849"/>
      <c r="AD17" s="852"/>
      <c r="AE17" s="852"/>
      <c r="AF17" s="852"/>
      <c r="AG17" s="852"/>
      <c r="AH17" s="852"/>
      <c r="AI17" s="852"/>
      <c r="AJ17" s="852"/>
      <c r="AK17" s="852"/>
      <c r="AL17" s="852"/>
      <c r="AM17" s="852"/>
      <c r="AN17" s="854"/>
      <c r="AO17" s="854"/>
      <c r="AP17" s="854"/>
      <c r="AQ17" s="854"/>
      <c r="AR17" s="854"/>
      <c r="AS17" s="854"/>
      <c r="AT17" s="854"/>
      <c r="AU17" s="854"/>
      <c r="AV17" s="854"/>
      <c r="AW17" s="854"/>
      <c r="AX17" s="854"/>
      <c r="AY17" s="854"/>
      <c r="AZ17" s="854"/>
      <c r="BA17" s="854"/>
      <c r="BB17" s="854"/>
      <c r="BC17" s="854"/>
      <c r="BD17" s="853"/>
      <c r="BE17" s="853"/>
      <c r="BF17" s="853"/>
      <c r="BG17" s="853"/>
      <c r="BH17" s="853"/>
      <c r="BI17" s="853"/>
      <c r="BJ17" s="855"/>
      <c r="BK17" s="853"/>
      <c r="BL17" s="853"/>
      <c r="BM17" s="853"/>
      <c r="BN17" s="856"/>
      <c r="BO17" s="856"/>
      <c r="BU17" s="1364"/>
    </row>
    <row r="18" spans="4:73" s="207" customFormat="1" x14ac:dyDescent="0.25">
      <c r="D18" s="849"/>
      <c r="E18" s="849"/>
      <c r="F18" s="849"/>
      <c r="G18" s="849"/>
      <c r="H18" s="849"/>
      <c r="I18" s="857"/>
      <c r="J18" s="1105"/>
      <c r="K18" s="1105"/>
      <c r="L18" s="1106"/>
      <c r="M18" s="1105"/>
      <c r="N18" s="1105"/>
      <c r="O18" s="851"/>
      <c r="P18" s="851"/>
      <c r="Q18" s="851"/>
      <c r="R18" s="851"/>
      <c r="S18" s="851"/>
      <c r="T18" s="851"/>
      <c r="U18" s="851"/>
      <c r="V18" s="851"/>
      <c r="W18" s="851"/>
      <c r="X18" s="852"/>
      <c r="Y18" s="852"/>
      <c r="Z18" s="852"/>
      <c r="AA18" s="852"/>
      <c r="AB18" s="852"/>
      <c r="AC18" s="849"/>
      <c r="AD18" s="852"/>
      <c r="AE18" s="852"/>
      <c r="AF18" s="852"/>
      <c r="AG18" s="852"/>
      <c r="AH18" s="852"/>
      <c r="AI18" s="852"/>
      <c r="AJ18" s="852"/>
      <c r="AK18" s="852"/>
      <c r="AL18" s="852"/>
      <c r="AM18" s="852"/>
      <c r="AN18" s="854"/>
      <c r="AO18" s="854"/>
      <c r="AP18" s="854"/>
      <c r="AQ18" s="854"/>
      <c r="AR18" s="854"/>
      <c r="AS18" s="854"/>
      <c r="AT18" s="854"/>
      <c r="AU18" s="854"/>
      <c r="AV18" s="854"/>
      <c r="AW18" s="854"/>
      <c r="AX18" s="854"/>
      <c r="AY18" s="854"/>
      <c r="AZ18" s="854"/>
      <c r="BA18" s="854"/>
      <c r="BB18" s="854"/>
      <c r="BC18" s="854"/>
      <c r="BD18" s="853"/>
      <c r="BE18" s="853"/>
      <c r="BF18" s="853"/>
      <c r="BG18" s="853"/>
      <c r="BH18" s="853"/>
      <c r="BI18" s="853"/>
      <c r="BJ18" s="855"/>
      <c r="BK18" s="853"/>
      <c r="BL18" s="853"/>
      <c r="BM18" s="853"/>
      <c r="BN18" s="856"/>
      <c r="BO18" s="856"/>
      <c r="BU18" s="1364"/>
    </row>
    <row r="19" spans="4:73" s="207" customFormat="1" x14ac:dyDescent="0.25">
      <c r="D19" s="849"/>
      <c r="E19" s="849"/>
      <c r="F19" s="849"/>
      <c r="G19" s="849"/>
      <c r="H19" s="849"/>
      <c r="I19" s="857"/>
      <c r="J19" s="1105"/>
      <c r="K19" s="1105"/>
      <c r="L19" s="1106"/>
      <c r="M19" s="1105"/>
      <c r="N19" s="1105"/>
      <c r="O19" s="851"/>
      <c r="P19" s="851"/>
      <c r="Q19" s="851"/>
      <c r="R19" s="851"/>
      <c r="S19" s="851"/>
      <c r="T19" s="851"/>
      <c r="U19" s="851"/>
      <c r="V19" s="851"/>
      <c r="W19" s="851"/>
      <c r="X19" s="852"/>
      <c r="Y19" s="852"/>
      <c r="Z19" s="852"/>
      <c r="AA19" s="852"/>
      <c r="AB19" s="852"/>
      <c r="AC19" s="849"/>
      <c r="AD19" s="852"/>
      <c r="AE19" s="852"/>
      <c r="AF19" s="852"/>
      <c r="AG19" s="852"/>
      <c r="AH19" s="852"/>
      <c r="AI19" s="852"/>
      <c r="AJ19" s="852"/>
      <c r="AK19" s="852"/>
      <c r="AL19" s="852"/>
      <c r="AM19" s="852"/>
      <c r="AN19" s="854"/>
      <c r="AO19" s="854"/>
      <c r="AP19" s="854"/>
      <c r="AQ19" s="854"/>
      <c r="AR19" s="854"/>
      <c r="AS19" s="854"/>
      <c r="AT19" s="854"/>
      <c r="AU19" s="854"/>
      <c r="AV19" s="854"/>
      <c r="AW19" s="854"/>
      <c r="AX19" s="854"/>
      <c r="AY19" s="854"/>
      <c r="AZ19" s="854"/>
      <c r="BA19" s="854"/>
      <c r="BB19" s="854"/>
      <c r="BC19" s="854"/>
      <c r="BD19" s="853"/>
      <c r="BE19" s="853"/>
      <c r="BF19" s="853"/>
      <c r="BG19" s="853"/>
      <c r="BH19" s="853"/>
      <c r="BI19" s="853"/>
      <c r="BJ19" s="855"/>
      <c r="BK19" s="853"/>
      <c r="BL19" s="853"/>
      <c r="BM19" s="853"/>
      <c r="BN19" s="856"/>
      <c r="BO19" s="856"/>
      <c r="BU19" s="1364"/>
    </row>
    <row r="20" spans="4:73" s="207" customFormat="1" x14ac:dyDescent="0.25">
      <c r="D20" s="849"/>
      <c r="E20" s="849"/>
      <c r="F20" s="849"/>
      <c r="G20" s="849"/>
      <c r="H20" s="849"/>
      <c r="I20" s="850"/>
      <c r="J20" s="1105"/>
      <c r="K20" s="1105"/>
      <c r="L20" s="1106"/>
      <c r="M20" s="1105"/>
      <c r="N20" s="1105"/>
      <c r="O20" s="851"/>
      <c r="P20" s="851"/>
      <c r="Q20" s="851"/>
      <c r="R20" s="851"/>
      <c r="S20" s="851"/>
      <c r="T20" s="851"/>
      <c r="U20" s="851"/>
      <c r="V20" s="851"/>
      <c r="W20" s="851"/>
      <c r="X20" s="852"/>
      <c r="Y20" s="852"/>
      <c r="Z20" s="852"/>
      <c r="AA20" s="852"/>
      <c r="AB20" s="852"/>
      <c r="AC20" s="849"/>
      <c r="AD20" s="852"/>
      <c r="AE20" s="852"/>
      <c r="AF20" s="852"/>
      <c r="AG20" s="852"/>
      <c r="AH20" s="852"/>
      <c r="AI20" s="852"/>
      <c r="AJ20" s="852"/>
      <c r="AK20" s="852"/>
      <c r="AL20" s="852"/>
      <c r="AM20" s="852"/>
      <c r="AN20" s="854"/>
      <c r="AO20" s="854"/>
      <c r="AP20" s="854"/>
      <c r="AQ20" s="854"/>
      <c r="AR20" s="854"/>
      <c r="AS20" s="854"/>
      <c r="AT20" s="854"/>
      <c r="AU20" s="854"/>
      <c r="AV20" s="854"/>
      <c r="AW20" s="854"/>
      <c r="AX20" s="854"/>
      <c r="AY20" s="854"/>
      <c r="AZ20" s="854"/>
      <c r="BA20" s="854"/>
      <c r="BB20" s="854"/>
      <c r="BC20" s="854"/>
      <c r="BD20" s="853"/>
      <c r="BE20" s="853"/>
      <c r="BF20" s="853"/>
      <c r="BG20" s="853"/>
      <c r="BH20" s="853"/>
      <c r="BI20" s="853"/>
      <c r="BJ20" s="855"/>
      <c r="BK20" s="853"/>
      <c r="BL20" s="853"/>
      <c r="BM20" s="853"/>
      <c r="BN20" s="856"/>
      <c r="BO20" s="856"/>
      <c r="BU20" s="1364"/>
    </row>
    <row r="21" spans="4:73" s="207" customFormat="1" x14ac:dyDescent="0.25">
      <c r="D21" s="849"/>
      <c r="E21" s="849"/>
      <c r="F21" s="849"/>
      <c r="G21" s="849"/>
      <c r="H21" s="849"/>
      <c r="I21" s="857"/>
      <c r="J21" s="1105"/>
      <c r="K21" s="1105"/>
      <c r="L21" s="1106"/>
      <c r="M21" s="1105"/>
      <c r="N21" s="1105"/>
      <c r="O21" s="851"/>
      <c r="P21" s="851"/>
      <c r="Q21" s="851"/>
      <c r="R21" s="851"/>
      <c r="S21" s="851"/>
      <c r="T21" s="851"/>
      <c r="U21" s="851"/>
      <c r="V21" s="851"/>
      <c r="W21" s="851"/>
      <c r="X21" s="852"/>
      <c r="Y21" s="852"/>
      <c r="Z21" s="852"/>
      <c r="AA21" s="852"/>
      <c r="AB21" s="852"/>
      <c r="AC21" s="849"/>
      <c r="AD21" s="852"/>
      <c r="AE21" s="852"/>
      <c r="AF21" s="852"/>
      <c r="AG21" s="852"/>
      <c r="AH21" s="852"/>
      <c r="AI21" s="852"/>
      <c r="AJ21" s="852"/>
      <c r="AK21" s="852"/>
      <c r="AL21" s="852"/>
      <c r="AM21" s="852"/>
      <c r="AN21" s="854"/>
      <c r="AO21" s="854"/>
      <c r="AP21" s="854"/>
      <c r="AQ21" s="854"/>
      <c r="AR21" s="854"/>
      <c r="AS21" s="854"/>
      <c r="AT21" s="854"/>
      <c r="AU21" s="854"/>
      <c r="AV21" s="854"/>
      <c r="AW21" s="854"/>
      <c r="AX21" s="854"/>
      <c r="AY21" s="854"/>
      <c r="AZ21" s="854"/>
      <c r="BA21" s="854"/>
      <c r="BB21" s="854"/>
      <c r="BC21" s="854"/>
      <c r="BD21" s="853"/>
      <c r="BE21" s="853"/>
      <c r="BF21" s="853"/>
      <c r="BG21" s="853"/>
      <c r="BH21" s="853"/>
      <c r="BI21" s="853"/>
      <c r="BJ21" s="855"/>
      <c r="BK21" s="853"/>
      <c r="BL21" s="853"/>
      <c r="BM21" s="853"/>
      <c r="BN21" s="856"/>
      <c r="BO21" s="856"/>
      <c r="BU21" s="1364"/>
    </row>
    <row r="22" spans="4:73" s="207" customFormat="1" x14ac:dyDescent="0.25">
      <c r="D22" s="849"/>
      <c r="E22" s="849"/>
      <c r="F22" s="849"/>
      <c r="G22" s="849"/>
      <c r="H22" s="849"/>
      <c r="I22" s="857"/>
      <c r="J22" s="1105"/>
      <c r="K22" s="1105"/>
      <c r="L22" s="1106"/>
      <c r="M22" s="1105"/>
      <c r="N22" s="1105"/>
      <c r="O22" s="851"/>
      <c r="P22" s="851"/>
      <c r="Q22" s="851"/>
      <c r="R22" s="851"/>
      <c r="S22" s="851"/>
      <c r="T22" s="851"/>
      <c r="U22" s="851"/>
      <c r="V22" s="851"/>
      <c r="W22" s="851"/>
      <c r="X22" s="852"/>
      <c r="Y22" s="852"/>
      <c r="Z22" s="852"/>
      <c r="AA22" s="852"/>
      <c r="AB22" s="852"/>
      <c r="AC22" s="849"/>
      <c r="AD22" s="852"/>
      <c r="AE22" s="852"/>
      <c r="AF22" s="852"/>
      <c r="AG22" s="852"/>
      <c r="AH22" s="852"/>
      <c r="AI22" s="852"/>
      <c r="AJ22" s="852"/>
      <c r="AK22" s="852"/>
      <c r="AL22" s="852"/>
      <c r="AM22" s="852"/>
      <c r="AN22" s="854"/>
      <c r="AO22" s="854"/>
      <c r="AP22" s="854"/>
      <c r="AQ22" s="854"/>
      <c r="AR22" s="854"/>
      <c r="AS22" s="854"/>
      <c r="AT22" s="854"/>
      <c r="AU22" s="854"/>
      <c r="AV22" s="854"/>
      <c r="AW22" s="854"/>
      <c r="AX22" s="854"/>
      <c r="AY22" s="854"/>
      <c r="AZ22" s="854"/>
      <c r="BA22" s="854"/>
      <c r="BB22" s="854"/>
      <c r="BC22" s="854"/>
      <c r="BD22" s="853"/>
      <c r="BE22" s="853"/>
      <c r="BF22" s="853"/>
      <c r="BG22" s="853"/>
      <c r="BH22" s="853"/>
      <c r="BI22" s="853"/>
      <c r="BJ22" s="855"/>
      <c r="BK22" s="853"/>
      <c r="BL22" s="853"/>
      <c r="BM22" s="853"/>
      <c r="BN22" s="856"/>
      <c r="BO22" s="856"/>
      <c r="BU22" s="1364"/>
    </row>
    <row r="23" spans="4:73" s="207" customFormat="1" x14ac:dyDescent="0.25">
      <c r="D23" s="849"/>
      <c r="E23" s="849"/>
      <c r="F23" s="849"/>
      <c r="G23" s="849"/>
      <c r="H23" s="849"/>
      <c r="I23" s="857"/>
      <c r="J23" s="1105"/>
      <c r="K23" s="1105"/>
      <c r="L23" s="1106"/>
      <c r="M23" s="1105"/>
      <c r="N23" s="1105"/>
      <c r="O23" s="851"/>
      <c r="P23" s="851"/>
      <c r="Q23" s="851"/>
      <c r="R23" s="851"/>
      <c r="S23" s="851"/>
      <c r="T23" s="851"/>
      <c r="U23" s="851"/>
      <c r="V23" s="851"/>
      <c r="W23" s="851"/>
      <c r="X23" s="852"/>
      <c r="Y23" s="852"/>
      <c r="Z23" s="852"/>
      <c r="AA23" s="852"/>
      <c r="AB23" s="852"/>
      <c r="AC23" s="849"/>
      <c r="AD23" s="852"/>
      <c r="AE23" s="852"/>
      <c r="AF23" s="852"/>
      <c r="AG23" s="852"/>
      <c r="AH23" s="852"/>
      <c r="AI23" s="852"/>
      <c r="AJ23" s="852"/>
      <c r="AK23" s="852"/>
      <c r="AL23" s="852"/>
      <c r="AM23" s="852"/>
      <c r="AN23" s="854"/>
      <c r="AO23" s="854"/>
      <c r="AP23" s="854"/>
      <c r="AQ23" s="854"/>
      <c r="AR23" s="854"/>
      <c r="AS23" s="854"/>
      <c r="AT23" s="854"/>
      <c r="AU23" s="854"/>
      <c r="AV23" s="854"/>
      <c r="AW23" s="854"/>
      <c r="AX23" s="854"/>
      <c r="AY23" s="854"/>
      <c r="AZ23" s="854"/>
      <c r="BA23" s="854"/>
      <c r="BB23" s="854"/>
      <c r="BC23" s="854"/>
      <c r="BD23" s="853"/>
      <c r="BE23" s="853"/>
      <c r="BF23" s="853"/>
      <c r="BG23" s="853"/>
      <c r="BH23" s="853"/>
      <c r="BI23" s="853"/>
      <c r="BJ23" s="855"/>
      <c r="BK23" s="853"/>
      <c r="BL23" s="853"/>
      <c r="BM23" s="853"/>
      <c r="BN23" s="856"/>
      <c r="BO23" s="856"/>
      <c r="BU23" s="1364"/>
    </row>
    <row r="24" spans="4:73" s="207" customFormat="1" x14ac:dyDescent="0.25">
      <c r="D24" s="849"/>
      <c r="E24" s="849"/>
      <c r="F24" s="849"/>
      <c r="G24" s="849"/>
      <c r="H24" s="849"/>
      <c r="I24" s="857"/>
      <c r="J24" s="1105"/>
      <c r="K24" s="1105"/>
      <c r="L24" s="1106"/>
      <c r="M24" s="1105"/>
      <c r="N24" s="1105"/>
      <c r="O24" s="851"/>
      <c r="P24" s="851"/>
      <c r="Q24" s="851"/>
      <c r="R24" s="851"/>
      <c r="S24" s="851"/>
      <c r="T24" s="851"/>
      <c r="U24" s="851"/>
      <c r="V24" s="851"/>
      <c r="W24" s="851"/>
      <c r="X24" s="852"/>
      <c r="Y24" s="852"/>
      <c r="Z24" s="852"/>
      <c r="AA24" s="852"/>
      <c r="AB24" s="852"/>
      <c r="AC24" s="849"/>
      <c r="AD24" s="852"/>
      <c r="AE24" s="852"/>
      <c r="AF24" s="852"/>
      <c r="AG24" s="852"/>
      <c r="AH24" s="852"/>
      <c r="AI24" s="852"/>
      <c r="AJ24" s="852"/>
      <c r="AK24" s="852"/>
      <c r="AL24" s="852"/>
      <c r="AM24" s="852"/>
      <c r="AN24" s="854"/>
      <c r="AO24" s="854"/>
      <c r="AP24" s="854"/>
      <c r="AQ24" s="854"/>
      <c r="AR24" s="854"/>
      <c r="AS24" s="854"/>
      <c r="AT24" s="854"/>
      <c r="AU24" s="854"/>
      <c r="AV24" s="854"/>
      <c r="AW24" s="854"/>
      <c r="AX24" s="854"/>
      <c r="AY24" s="854"/>
      <c r="AZ24" s="854"/>
      <c r="BA24" s="854"/>
      <c r="BB24" s="854"/>
      <c r="BC24" s="854"/>
      <c r="BD24" s="853"/>
      <c r="BE24" s="853"/>
      <c r="BF24" s="853"/>
      <c r="BG24" s="853"/>
      <c r="BH24" s="853"/>
      <c r="BI24" s="853"/>
      <c r="BJ24" s="855"/>
      <c r="BK24" s="853"/>
      <c r="BL24" s="853"/>
      <c r="BM24" s="853"/>
      <c r="BN24" s="856"/>
      <c r="BO24" s="856"/>
      <c r="BU24" s="1364"/>
    </row>
    <row r="25" spans="4:73" s="207" customFormat="1" x14ac:dyDescent="0.25">
      <c r="D25" s="849"/>
      <c r="E25" s="849"/>
      <c r="F25" s="849"/>
      <c r="G25" s="849"/>
      <c r="H25" s="849"/>
      <c r="I25" s="857"/>
      <c r="J25" s="1105"/>
      <c r="K25" s="1105"/>
      <c r="L25" s="1106"/>
      <c r="M25" s="1105"/>
      <c r="N25" s="1105"/>
      <c r="O25" s="851"/>
      <c r="P25" s="851"/>
      <c r="Q25" s="851"/>
      <c r="R25" s="851"/>
      <c r="S25" s="851"/>
      <c r="T25" s="851"/>
      <c r="U25" s="851"/>
      <c r="V25" s="851"/>
      <c r="W25" s="851"/>
      <c r="X25" s="852"/>
      <c r="Y25" s="852"/>
      <c r="Z25" s="852"/>
      <c r="AA25" s="852"/>
      <c r="AB25" s="852"/>
      <c r="AC25" s="849"/>
      <c r="AD25" s="852"/>
      <c r="AE25" s="852"/>
      <c r="AF25" s="852"/>
      <c r="AG25" s="852"/>
      <c r="AH25" s="852"/>
      <c r="AI25" s="852"/>
      <c r="AJ25" s="852"/>
      <c r="AK25" s="852"/>
      <c r="AL25" s="852"/>
      <c r="AM25" s="852"/>
      <c r="AN25" s="854"/>
      <c r="AO25" s="854"/>
      <c r="AP25" s="854"/>
      <c r="AQ25" s="854"/>
      <c r="AR25" s="854"/>
      <c r="AS25" s="854"/>
      <c r="AT25" s="854"/>
      <c r="AU25" s="854"/>
      <c r="AV25" s="854"/>
      <c r="AW25" s="854"/>
      <c r="AX25" s="854"/>
      <c r="AY25" s="854"/>
      <c r="AZ25" s="854"/>
      <c r="BA25" s="854"/>
      <c r="BB25" s="854"/>
      <c r="BC25" s="854"/>
      <c r="BD25" s="853"/>
      <c r="BE25" s="853"/>
      <c r="BF25" s="853"/>
      <c r="BG25" s="853"/>
      <c r="BH25" s="853"/>
      <c r="BI25" s="853"/>
      <c r="BJ25" s="855"/>
      <c r="BK25" s="853"/>
      <c r="BL25" s="853"/>
      <c r="BM25" s="853"/>
      <c r="BN25" s="856"/>
      <c r="BO25" s="856"/>
      <c r="BU25" s="1364"/>
    </row>
    <row r="26" spans="4:73" s="207" customFormat="1" x14ac:dyDescent="0.25">
      <c r="D26" s="849"/>
      <c r="E26" s="849"/>
      <c r="F26" s="849"/>
      <c r="G26" s="849"/>
      <c r="H26" s="849"/>
      <c r="I26" s="857"/>
      <c r="J26" s="1105"/>
      <c r="K26" s="1105"/>
      <c r="L26" s="1106"/>
      <c r="M26" s="1105"/>
      <c r="N26" s="1105"/>
      <c r="O26" s="851"/>
      <c r="P26" s="851"/>
      <c r="Q26" s="851"/>
      <c r="R26" s="851"/>
      <c r="S26" s="851"/>
      <c r="T26" s="851"/>
      <c r="U26" s="851"/>
      <c r="V26" s="851"/>
      <c r="W26" s="851"/>
      <c r="X26" s="852"/>
      <c r="Y26" s="852"/>
      <c r="Z26" s="852"/>
      <c r="AA26" s="852"/>
      <c r="AB26" s="852"/>
      <c r="AC26" s="849"/>
      <c r="AD26" s="852"/>
      <c r="AE26" s="852"/>
      <c r="AF26" s="852"/>
      <c r="AG26" s="852"/>
      <c r="AH26" s="852"/>
      <c r="AI26" s="852"/>
      <c r="AJ26" s="852"/>
      <c r="AK26" s="852"/>
      <c r="AL26" s="852"/>
      <c r="AM26" s="852"/>
      <c r="AN26" s="854"/>
      <c r="AO26" s="854"/>
      <c r="AP26" s="854"/>
      <c r="AQ26" s="854"/>
      <c r="AR26" s="854"/>
      <c r="AS26" s="854"/>
      <c r="AT26" s="854"/>
      <c r="AU26" s="854"/>
      <c r="AV26" s="854"/>
      <c r="AW26" s="854"/>
      <c r="AX26" s="854"/>
      <c r="AY26" s="854"/>
      <c r="AZ26" s="854"/>
      <c r="BA26" s="854"/>
      <c r="BB26" s="854"/>
      <c r="BC26" s="854"/>
      <c r="BD26" s="853"/>
      <c r="BE26" s="853"/>
      <c r="BF26" s="853"/>
      <c r="BG26" s="853"/>
      <c r="BH26" s="853"/>
      <c r="BI26" s="853"/>
      <c r="BJ26" s="855"/>
      <c r="BK26" s="853"/>
      <c r="BL26" s="853"/>
      <c r="BM26" s="853"/>
      <c r="BN26" s="856"/>
      <c r="BO26" s="856"/>
      <c r="BU26" s="1364"/>
    </row>
    <row r="27" spans="4:73" s="207" customFormat="1" x14ac:dyDescent="0.25">
      <c r="D27" s="849"/>
      <c r="E27" s="849"/>
      <c r="F27" s="849"/>
      <c r="G27" s="849"/>
      <c r="H27" s="849"/>
      <c r="I27" s="857"/>
      <c r="J27" s="1105"/>
      <c r="K27" s="1105"/>
      <c r="L27" s="1106"/>
      <c r="M27" s="1105"/>
      <c r="N27" s="1105"/>
      <c r="O27" s="851"/>
      <c r="P27" s="851"/>
      <c r="Q27" s="851"/>
      <c r="R27" s="851"/>
      <c r="S27" s="851"/>
      <c r="T27" s="851"/>
      <c r="U27" s="851"/>
      <c r="V27" s="851"/>
      <c r="W27" s="851"/>
      <c r="X27" s="852"/>
      <c r="Y27" s="852"/>
      <c r="Z27" s="852"/>
      <c r="AA27" s="852"/>
      <c r="AB27" s="852"/>
      <c r="AC27" s="849"/>
      <c r="AD27" s="852"/>
      <c r="AE27" s="852"/>
      <c r="AF27" s="852"/>
      <c r="AG27" s="852"/>
      <c r="AH27" s="852"/>
      <c r="AI27" s="852"/>
      <c r="AJ27" s="852"/>
      <c r="AK27" s="852"/>
      <c r="AL27" s="852"/>
      <c r="AM27" s="852"/>
      <c r="AN27" s="854"/>
      <c r="AO27" s="854"/>
      <c r="AP27" s="854"/>
      <c r="AQ27" s="854"/>
      <c r="AR27" s="854"/>
      <c r="AS27" s="854"/>
      <c r="AT27" s="854"/>
      <c r="AU27" s="854"/>
      <c r="AV27" s="854"/>
      <c r="AW27" s="854"/>
      <c r="AX27" s="854"/>
      <c r="AY27" s="854"/>
      <c r="AZ27" s="854"/>
      <c r="BA27" s="854"/>
      <c r="BB27" s="854"/>
      <c r="BC27" s="854"/>
      <c r="BD27" s="853"/>
      <c r="BE27" s="853"/>
      <c r="BF27" s="853"/>
      <c r="BG27" s="853"/>
      <c r="BH27" s="853"/>
      <c r="BI27" s="853"/>
      <c r="BJ27" s="855"/>
      <c r="BK27" s="853"/>
      <c r="BL27" s="853"/>
      <c r="BM27" s="853"/>
      <c r="BN27" s="856"/>
      <c r="BO27" s="856"/>
      <c r="BU27" s="1364"/>
    </row>
    <row r="28" spans="4:73" s="207" customFormat="1" x14ac:dyDescent="0.25">
      <c r="D28" s="849"/>
      <c r="E28" s="849"/>
      <c r="F28" s="849"/>
      <c r="G28" s="849"/>
      <c r="H28" s="849"/>
      <c r="I28" s="857"/>
      <c r="J28" s="1105"/>
      <c r="K28" s="1105"/>
      <c r="L28" s="1106"/>
      <c r="M28" s="1105"/>
      <c r="N28" s="1105"/>
      <c r="O28" s="851"/>
      <c r="P28" s="851"/>
      <c r="Q28" s="851"/>
      <c r="R28" s="851"/>
      <c r="S28" s="851"/>
      <c r="T28" s="851"/>
      <c r="U28" s="851"/>
      <c r="V28" s="851"/>
      <c r="W28" s="851"/>
      <c r="X28" s="852"/>
      <c r="Y28" s="852"/>
      <c r="Z28" s="852"/>
      <c r="AA28" s="852"/>
      <c r="AB28" s="852"/>
      <c r="AC28" s="849"/>
      <c r="AD28" s="852"/>
      <c r="AE28" s="852"/>
      <c r="AF28" s="852"/>
      <c r="AG28" s="852"/>
      <c r="AH28" s="852"/>
      <c r="AI28" s="852"/>
      <c r="AJ28" s="852"/>
      <c r="AK28" s="852"/>
      <c r="AL28" s="852"/>
      <c r="AM28" s="852"/>
      <c r="AN28" s="854"/>
      <c r="AO28" s="854"/>
      <c r="AP28" s="854"/>
      <c r="AQ28" s="854"/>
      <c r="AR28" s="854"/>
      <c r="AS28" s="854"/>
      <c r="AT28" s="854"/>
      <c r="AU28" s="854"/>
      <c r="AV28" s="854"/>
      <c r="AW28" s="854"/>
      <c r="AX28" s="854"/>
      <c r="AY28" s="854"/>
      <c r="AZ28" s="854"/>
      <c r="BA28" s="854"/>
      <c r="BB28" s="854"/>
      <c r="BC28" s="854"/>
      <c r="BD28" s="853"/>
      <c r="BE28" s="853"/>
      <c r="BF28" s="853"/>
      <c r="BG28" s="853"/>
      <c r="BH28" s="853"/>
      <c r="BI28" s="853"/>
      <c r="BJ28" s="855"/>
      <c r="BK28" s="853"/>
      <c r="BL28" s="853"/>
      <c r="BM28" s="853"/>
      <c r="BN28" s="856"/>
      <c r="BO28" s="856"/>
      <c r="BU28" s="1364"/>
    </row>
    <row r="29" spans="4:73" s="207" customFormat="1" x14ac:dyDescent="0.25">
      <c r="D29" s="849"/>
      <c r="E29" s="849"/>
      <c r="F29" s="849"/>
      <c r="G29" s="849"/>
      <c r="H29" s="849"/>
      <c r="I29" s="857"/>
      <c r="J29" s="1105"/>
      <c r="K29" s="1105"/>
      <c r="L29" s="1106"/>
      <c r="M29" s="1105"/>
      <c r="N29" s="1105"/>
      <c r="O29" s="851"/>
      <c r="P29" s="851"/>
      <c r="Q29" s="851"/>
      <c r="R29" s="851"/>
      <c r="S29" s="851"/>
      <c r="T29" s="851"/>
      <c r="U29" s="851"/>
      <c r="V29" s="851"/>
      <c r="W29" s="851"/>
      <c r="X29" s="852"/>
      <c r="Y29" s="852"/>
      <c r="Z29" s="852"/>
      <c r="AA29" s="852"/>
      <c r="AB29" s="852"/>
      <c r="AC29" s="849"/>
      <c r="AD29" s="852"/>
      <c r="AE29" s="852"/>
      <c r="AF29" s="852"/>
      <c r="AG29" s="852"/>
      <c r="AH29" s="852"/>
      <c r="AI29" s="852"/>
      <c r="AJ29" s="852"/>
      <c r="AK29" s="852"/>
      <c r="AL29" s="852"/>
      <c r="AM29" s="852"/>
      <c r="AN29" s="854"/>
      <c r="AO29" s="854"/>
      <c r="AP29" s="854"/>
      <c r="AQ29" s="854"/>
      <c r="AR29" s="854"/>
      <c r="AS29" s="854"/>
      <c r="AT29" s="854"/>
      <c r="AU29" s="854"/>
      <c r="AV29" s="854"/>
      <c r="AW29" s="854"/>
      <c r="AX29" s="854"/>
      <c r="AY29" s="854"/>
      <c r="AZ29" s="854"/>
      <c r="BA29" s="854"/>
      <c r="BB29" s="854"/>
      <c r="BC29" s="854"/>
      <c r="BD29" s="853"/>
      <c r="BE29" s="853"/>
      <c r="BF29" s="853"/>
      <c r="BG29" s="853"/>
      <c r="BH29" s="853"/>
      <c r="BI29" s="853"/>
      <c r="BJ29" s="855"/>
      <c r="BK29" s="853"/>
      <c r="BL29" s="853"/>
      <c r="BM29" s="853"/>
      <c r="BN29" s="856"/>
      <c r="BO29" s="856"/>
      <c r="BU29" s="1364"/>
    </row>
    <row r="30" spans="4:73" s="207" customFormat="1" x14ac:dyDescent="0.25">
      <c r="D30" s="849"/>
      <c r="E30" s="849"/>
      <c r="F30" s="849"/>
      <c r="G30" s="849"/>
      <c r="H30" s="849"/>
      <c r="I30" s="857"/>
      <c r="J30" s="1105"/>
      <c r="K30" s="1105"/>
      <c r="L30" s="1106"/>
      <c r="M30" s="1105"/>
      <c r="N30" s="1105"/>
      <c r="O30" s="851"/>
      <c r="P30" s="851"/>
      <c r="Q30" s="851"/>
      <c r="R30" s="851"/>
      <c r="S30" s="851"/>
      <c r="T30" s="851"/>
      <c r="U30" s="851"/>
      <c r="V30" s="851"/>
      <c r="W30" s="851"/>
      <c r="X30" s="852"/>
      <c r="Y30" s="852"/>
      <c r="Z30" s="852"/>
      <c r="AA30" s="852"/>
      <c r="AB30" s="852"/>
      <c r="AC30" s="849"/>
      <c r="AD30" s="852"/>
      <c r="AE30" s="852"/>
      <c r="AF30" s="852"/>
      <c r="AG30" s="852"/>
      <c r="AH30" s="852"/>
      <c r="AI30" s="852"/>
      <c r="AJ30" s="852"/>
      <c r="AK30" s="852"/>
      <c r="AL30" s="852"/>
      <c r="AM30" s="852"/>
      <c r="AN30" s="854"/>
      <c r="AO30" s="854"/>
      <c r="AP30" s="854"/>
      <c r="AQ30" s="854"/>
      <c r="AR30" s="854"/>
      <c r="AS30" s="854"/>
      <c r="AT30" s="854"/>
      <c r="AU30" s="854"/>
      <c r="AV30" s="854"/>
      <c r="AW30" s="854"/>
      <c r="AX30" s="854"/>
      <c r="AY30" s="854"/>
      <c r="AZ30" s="854"/>
      <c r="BA30" s="854"/>
      <c r="BB30" s="854"/>
      <c r="BC30" s="854"/>
      <c r="BD30" s="853"/>
      <c r="BE30" s="853"/>
      <c r="BF30" s="853"/>
      <c r="BG30" s="853"/>
      <c r="BH30" s="853"/>
      <c r="BI30" s="853"/>
      <c r="BJ30" s="855"/>
      <c r="BK30" s="853"/>
      <c r="BL30" s="853"/>
      <c r="BM30" s="853"/>
      <c r="BN30" s="856"/>
      <c r="BO30" s="856"/>
      <c r="BU30" s="1364"/>
    </row>
    <row r="31" spans="4:73" s="207" customFormat="1" x14ac:dyDescent="0.25">
      <c r="E31" s="849"/>
      <c r="F31" s="849"/>
      <c r="G31" s="849"/>
      <c r="H31" s="849"/>
      <c r="I31" s="858"/>
      <c r="J31" s="1107"/>
      <c r="K31" s="1107"/>
      <c r="L31" s="1107"/>
      <c r="M31" s="1107"/>
      <c r="N31" s="1107"/>
      <c r="O31" s="851"/>
      <c r="P31" s="851"/>
      <c r="Q31" s="851"/>
      <c r="R31" s="851"/>
      <c r="S31" s="851"/>
      <c r="T31" s="851"/>
      <c r="U31" s="851"/>
      <c r="V31" s="851"/>
      <c r="W31" s="851"/>
      <c r="X31" s="852"/>
      <c r="Y31" s="852"/>
      <c r="Z31" s="852"/>
      <c r="AA31" s="852"/>
      <c r="AB31" s="852"/>
      <c r="AC31" s="849"/>
      <c r="AD31" s="852"/>
      <c r="AE31" s="852"/>
      <c r="AF31" s="852"/>
      <c r="AG31" s="852"/>
      <c r="AH31" s="852"/>
      <c r="AI31" s="852"/>
      <c r="AJ31" s="852"/>
      <c r="AK31" s="852"/>
      <c r="AL31" s="852"/>
      <c r="AM31" s="852"/>
      <c r="AN31" s="860"/>
      <c r="AO31" s="860"/>
      <c r="AP31" s="860"/>
      <c r="AQ31" s="860"/>
      <c r="AR31" s="860"/>
      <c r="AS31" s="860"/>
      <c r="AT31" s="860"/>
      <c r="AU31" s="860"/>
      <c r="AV31" s="860"/>
      <c r="AW31" s="860"/>
      <c r="AX31" s="854"/>
      <c r="AY31" s="860"/>
      <c r="AZ31" s="860"/>
      <c r="BA31" s="860"/>
      <c r="BB31" s="860"/>
      <c r="BC31" s="860"/>
      <c r="BD31" s="859"/>
      <c r="BE31" s="859"/>
      <c r="BF31" s="859"/>
      <c r="BG31" s="859"/>
      <c r="BH31" s="859"/>
      <c r="BI31" s="859"/>
      <c r="BJ31" s="852"/>
      <c r="BK31" s="859"/>
      <c r="BL31" s="859"/>
      <c r="BM31" s="859"/>
      <c r="BU31" s="1364"/>
    </row>
    <row r="32" spans="4:73" s="207" customFormat="1" x14ac:dyDescent="0.25">
      <c r="E32" s="849"/>
      <c r="F32" s="849"/>
      <c r="G32" s="849"/>
      <c r="H32" s="849"/>
      <c r="I32" s="858"/>
      <c r="J32" s="1107"/>
      <c r="K32" s="1107"/>
      <c r="L32" s="1107"/>
      <c r="M32" s="1107"/>
      <c r="N32" s="1107"/>
      <c r="O32" s="851"/>
      <c r="P32" s="851"/>
      <c r="Q32" s="851"/>
      <c r="R32" s="851"/>
      <c r="S32" s="851"/>
      <c r="T32" s="851"/>
      <c r="U32" s="851"/>
      <c r="V32" s="851"/>
      <c r="W32" s="851"/>
      <c r="X32" s="852"/>
      <c r="Y32" s="852"/>
      <c r="Z32" s="852"/>
      <c r="AA32" s="852"/>
      <c r="AB32" s="852"/>
      <c r="AC32" s="849"/>
      <c r="AD32" s="852"/>
      <c r="AE32" s="852"/>
      <c r="AF32" s="852"/>
      <c r="AG32" s="852"/>
      <c r="AH32" s="852"/>
      <c r="AI32" s="852"/>
      <c r="AJ32" s="852"/>
      <c r="AK32" s="852"/>
      <c r="AL32" s="852"/>
      <c r="AM32" s="852"/>
      <c r="AN32" s="860"/>
      <c r="AO32" s="860"/>
      <c r="AP32" s="860"/>
      <c r="AQ32" s="860"/>
      <c r="AR32" s="860"/>
      <c r="AS32" s="860"/>
      <c r="AT32" s="860"/>
      <c r="AU32" s="860"/>
      <c r="AV32" s="860"/>
      <c r="AW32" s="860"/>
      <c r="AX32" s="860"/>
      <c r="AY32" s="860"/>
      <c r="AZ32" s="860"/>
      <c r="BA32" s="860"/>
      <c r="BB32" s="860"/>
      <c r="BC32" s="860"/>
      <c r="BD32" s="859"/>
      <c r="BE32" s="859"/>
      <c r="BF32" s="859"/>
      <c r="BG32" s="859"/>
      <c r="BH32" s="859"/>
      <c r="BI32" s="859"/>
      <c r="BJ32" s="852"/>
      <c r="BK32" s="859"/>
      <c r="BL32" s="859"/>
      <c r="BM32" s="859"/>
      <c r="BU32" s="1364"/>
    </row>
  </sheetData>
  <phoneticPr fontId="50" type="noConversion"/>
  <pageMargins left="0.78740157480314965" right="0.78740157480314965" top="0.98425196850393704" bottom="0.98425196850393704" header="0.51181102362204722" footer="0.51181102362204722"/>
  <pageSetup paperSize="9" scale="39" orientation="landscape"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3"/>
  <dimension ref="A1:I79"/>
  <sheetViews>
    <sheetView zoomScale="75" zoomScaleNormal="100" zoomScaleSheetLayoutView="75" workbookViewId="0">
      <selection activeCell="C8" sqref="C8"/>
    </sheetView>
  </sheetViews>
  <sheetFormatPr defaultRowHeight="12.75" x14ac:dyDescent="0.2"/>
  <cols>
    <col min="1" max="1" width="20" customWidth="1"/>
    <col min="2" max="2" width="50" customWidth="1"/>
    <col min="3" max="3" width="32.7109375" customWidth="1"/>
    <col min="4" max="4" width="15.42578125" customWidth="1"/>
    <col min="5" max="8" width="8.85546875" style="30" customWidth="1"/>
  </cols>
  <sheetData>
    <row r="1" spans="1:9" ht="13.5" thickBot="1" x14ac:dyDescent="0.25">
      <c r="A1" s="1071"/>
      <c r="B1" s="1072"/>
      <c r="C1" s="1072"/>
      <c r="D1" s="107"/>
    </row>
    <row r="2" spans="1:9" ht="13.5" thickBot="1" x14ac:dyDescent="0.25">
      <c r="A2" s="1077" t="str">
        <f>CADASTRO!C4</f>
        <v>Digitar o nome</v>
      </c>
      <c r="B2" s="1077">
        <f>CADASTRO!C12</f>
        <v>44013</v>
      </c>
      <c r="C2" s="30"/>
      <c r="D2" s="30"/>
      <c r="E2" s="1745" t="s">
        <v>56</v>
      </c>
    </row>
    <row r="3" spans="1:9" s="22" customFormat="1" ht="13.5" thickBot="1" x14ac:dyDescent="0.25">
      <c r="A3" s="1634"/>
      <c r="B3" s="1635"/>
      <c r="C3" s="30"/>
      <c r="D3" s="30"/>
      <c r="E3" s="1745" t="s">
        <v>56</v>
      </c>
      <c r="F3" s="30"/>
      <c r="G3" s="30"/>
      <c r="H3" s="30"/>
    </row>
    <row r="4" spans="1:9" ht="13.5" thickBot="1" x14ac:dyDescent="0.25">
      <c r="A4" s="3221" t="s">
        <v>4</v>
      </c>
      <c r="B4" s="3222"/>
      <c r="C4" s="3222"/>
      <c r="D4" s="3223"/>
      <c r="E4" s="1745" t="s">
        <v>56</v>
      </c>
    </row>
    <row r="5" spans="1:9" x14ac:dyDescent="0.2">
      <c r="A5" s="1733"/>
      <c r="B5" s="1736" t="s">
        <v>250</v>
      </c>
      <c r="C5" s="1737" t="s">
        <v>251</v>
      </c>
      <c r="D5" s="1738" t="s">
        <v>719</v>
      </c>
      <c r="E5" s="1745" t="s">
        <v>56</v>
      </c>
    </row>
    <row r="6" spans="1:9" ht="13.5" thickBot="1" x14ac:dyDescent="0.25">
      <c r="A6" s="1734" t="s">
        <v>1</v>
      </c>
      <c r="B6" s="1730">
        <f>SOLO!L98</f>
        <v>0</v>
      </c>
      <c r="C6" s="1731">
        <f>SOLO!L101</f>
        <v>0</v>
      </c>
      <c r="D6" s="1636">
        <f>(B6+C6)/2</f>
        <v>0</v>
      </c>
      <c r="E6" s="1745" t="s">
        <v>56</v>
      </c>
    </row>
    <row r="7" spans="1:9" ht="13.5" thickBot="1" x14ac:dyDescent="0.25">
      <c r="A7" s="1734" t="s">
        <v>252</v>
      </c>
      <c r="B7" s="1730">
        <f>SOLO!I18+SOLO!I19+SOLO!I20</f>
        <v>0</v>
      </c>
      <c r="C7" s="1731">
        <f>SOLO!K27+SOLO!K28</f>
        <v>0</v>
      </c>
      <c r="D7" s="1636">
        <f>(B7+C7)/2</f>
        <v>0</v>
      </c>
      <c r="E7" s="1745" t="s">
        <v>56</v>
      </c>
    </row>
    <row r="8" spans="1:9" ht="13.5" thickBot="1" x14ac:dyDescent="0.25">
      <c r="A8" s="1734" t="s">
        <v>247</v>
      </c>
      <c r="B8" s="1730">
        <f>SOLO!I22+SOLO!I23</f>
        <v>0</v>
      </c>
      <c r="C8" s="1732">
        <f>SOLO!K22+SOLO!K23</f>
        <v>0</v>
      </c>
      <c r="D8" s="1636">
        <f>(B8+C8)/2</f>
        <v>0</v>
      </c>
      <c r="E8" s="1745" t="s">
        <v>56</v>
      </c>
      <c r="F8" s="1637"/>
      <c r="I8" s="333">
        <f>D7+D8</f>
        <v>0</v>
      </c>
    </row>
    <row r="9" spans="1:9" ht="13.5" thickBot="1" x14ac:dyDescent="0.25">
      <c r="A9" s="1734" t="s">
        <v>2</v>
      </c>
      <c r="B9" s="1730">
        <f>SOLO!I30</f>
        <v>0</v>
      </c>
      <c r="C9" s="1731">
        <f>SOLO!K32</f>
        <v>0</v>
      </c>
      <c r="D9" s="1636">
        <f>(B9+C9)/2</f>
        <v>0</v>
      </c>
      <c r="E9" s="1745" t="s">
        <v>56</v>
      </c>
      <c r="F9" s="1637"/>
      <c r="G9" s="1637"/>
    </row>
    <row r="10" spans="1:9" ht="13.5" thickBot="1" x14ac:dyDescent="0.25">
      <c r="A10" s="1735" t="s">
        <v>61</v>
      </c>
      <c r="B10" s="1075">
        <f>SUM(B6:B9)</f>
        <v>0</v>
      </c>
      <c r="C10" s="1076">
        <f>SUM(C6:C9)</f>
        <v>0</v>
      </c>
      <c r="D10" s="1636">
        <f>(B10+C10)/2</f>
        <v>0</v>
      </c>
      <c r="E10" s="1745" t="s">
        <v>56</v>
      </c>
    </row>
    <row r="11" spans="1:9" x14ac:dyDescent="0.2">
      <c r="A11" s="59"/>
      <c r="B11" s="30"/>
      <c r="C11" s="30"/>
      <c r="D11" s="30"/>
      <c r="E11" s="1745" t="s">
        <v>56</v>
      </c>
    </row>
    <row r="12" spans="1:9" ht="13.5" thickBot="1" x14ac:dyDescent="0.25">
      <c r="A12" s="59"/>
      <c r="B12" s="30"/>
      <c r="C12" s="30"/>
      <c r="D12" s="30"/>
      <c r="E12" s="1745" t="s">
        <v>56</v>
      </c>
    </row>
    <row r="13" spans="1:9" x14ac:dyDescent="0.2">
      <c r="A13" s="107"/>
      <c r="B13" s="3226" t="s">
        <v>3</v>
      </c>
      <c r="C13" s="3227"/>
      <c r="D13" s="30"/>
      <c r="E13" s="1745" t="s">
        <v>56</v>
      </c>
    </row>
    <row r="14" spans="1:9" x14ac:dyDescent="0.2">
      <c r="A14" s="30"/>
      <c r="B14" s="1740" t="s">
        <v>24</v>
      </c>
      <c r="C14" s="1741" t="s">
        <v>25</v>
      </c>
      <c r="D14" s="30"/>
      <c r="E14" s="1745" t="s">
        <v>56</v>
      </c>
    </row>
    <row r="15" spans="1:9" ht="21" customHeight="1" thickBot="1" x14ac:dyDescent="0.25">
      <c r="A15" s="30"/>
      <c r="B15" s="1739" t="e">
        <f>REBANHO!F25/('G. RESULT. TEC.  AREA LEITE'!B7+'G. RESULT. TEC.  AREA LEITE'!B8)</f>
        <v>#DIV/0!</v>
      </c>
      <c r="C15" s="1076" t="e">
        <f>REBANHO!F25/('G. RESULT. TEC.  AREA LEITE'!C7+'G. RESULT. TEC.  AREA LEITE'!C8)</f>
        <v>#DIV/0!</v>
      </c>
      <c r="D15" s="30"/>
      <c r="E15" s="1745" t="s">
        <v>56</v>
      </c>
    </row>
    <row r="16" spans="1:9" ht="18.75" thickBot="1" x14ac:dyDescent="0.3">
      <c r="A16" s="30"/>
      <c r="B16" s="3228" t="s">
        <v>5</v>
      </c>
      <c r="C16" s="3229"/>
      <c r="D16" s="30"/>
      <c r="E16" s="1745" t="s">
        <v>56</v>
      </c>
    </row>
    <row r="17" spans="1:6" x14ac:dyDescent="0.2">
      <c r="A17" s="30"/>
      <c r="B17" s="235"/>
      <c r="C17" s="235"/>
      <c r="D17" s="30"/>
      <c r="E17" s="1745" t="s">
        <v>56</v>
      </c>
    </row>
    <row r="18" spans="1:6" ht="13.5" thickBot="1" x14ac:dyDescent="0.25">
      <c r="A18" s="59"/>
      <c r="B18" s="235"/>
      <c r="C18" s="235"/>
      <c r="D18" s="30"/>
      <c r="E18" s="1745" t="s">
        <v>56</v>
      </c>
    </row>
    <row r="19" spans="1:6" ht="16.5" thickBot="1" x14ac:dyDescent="0.3">
      <c r="A19" s="3224" t="s">
        <v>8</v>
      </c>
      <c r="B19" s="3225"/>
      <c r="C19" s="1663">
        <f>' RESULT. DETALHE CUSTO LEITE'!F9</f>
        <v>0</v>
      </c>
      <c r="D19" s="30"/>
      <c r="E19" s="1745" t="s">
        <v>56</v>
      </c>
    </row>
    <row r="20" spans="1:6" ht="16.5" thickBot="1" x14ac:dyDescent="0.3">
      <c r="A20" s="3224" t="s">
        <v>9</v>
      </c>
      <c r="B20" s="3225"/>
      <c r="C20" s="1663" t="e">
        <f>PRODUÇÃO!C43/'G. RESULT. TEC.  AREA LEITE'!D10</f>
        <v>#DIV/0!</v>
      </c>
      <c r="D20" s="693"/>
      <c r="E20" s="1745" t="s">
        <v>56</v>
      </c>
    </row>
    <row r="21" spans="1:6" ht="16.5" thickBot="1" x14ac:dyDescent="0.3">
      <c r="A21" s="3224" t="s">
        <v>17</v>
      </c>
      <c r="B21" s="3225"/>
      <c r="C21" s="1663" t="e">
        <f>'B. resultados tecnicos leite'!C27</f>
        <v>#DIV/0!</v>
      </c>
      <c r="D21" s="951"/>
      <c r="E21" s="1745" t="s">
        <v>56</v>
      </c>
    </row>
    <row r="22" spans="1:6" ht="16.5" thickBot="1" x14ac:dyDescent="0.3">
      <c r="A22" s="3224" t="s">
        <v>19</v>
      </c>
      <c r="B22" s="3225"/>
      <c r="C22" s="1664" t="e">
        <f>'B. resultados tecnicos leite'!C28</f>
        <v>#DIV/0!</v>
      </c>
      <c r="D22" s="1660"/>
      <c r="E22" s="1745" t="s">
        <v>56</v>
      </c>
    </row>
    <row r="23" spans="1:6" ht="16.5" thickBot="1" x14ac:dyDescent="0.3">
      <c r="A23" s="3224" t="s">
        <v>18</v>
      </c>
      <c r="B23" s="3225"/>
      <c r="C23" s="1664" t="e">
        <f>'B. resultados tecnicos leite'!C29</f>
        <v>#DIV/0!</v>
      </c>
      <c r="D23" s="1660"/>
      <c r="E23" s="1745" t="s">
        <v>56</v>
      </c>
    </row>
    <row r="24" spans="1:6" ht="16.5" thickBot="1" x14ac:dyDescent="0.3">
      <c r="A24" s="3234" t="s">
        <v>15</v>
      </c>
      <c r="B24" s="3235"/>
      <c r="C24" s="1682" t="e">
        <f>'B. resultados tecnicos leite'!C33</f>
        <v>#DIV/0!</v>
      </c>
      <c r="D24" s="1661"/>
      <c r="E24" s="1745" t="s">
        <v>56</v>
      </c>
      <c r="F24" s="30">
        <v>8</v>
      </c>
    </row>
    <row r="25" spans="1:6" ht="16.5" thickBot="1" x14ac:dyDescent="0.3">
      <c r="A25" s="3234" t="s">
        <v>10</v>
      </c>
      <c r="B25" s="3235"/>
      <c r="C25" s="1682" t="e">
        <f>'B. resultados tecnicos leite'!C34</f>
        <v>#DIV/0!</v>
      </c>
      <c r="D25" s="1661"/>
      <c r="E25" s="1745" t="s">
        <v>56</v>
      </c>
    </row>
    <row r="26" spans="1:6" ht="16.5" thickBot="1" x14ac:dyDescent="0.3">
      <c r="A26" s="3234" t="s">
        <v>11</v>
      </c>
      <c r="B26" s="3235"/>
      <c r="C26" s="1682" t="e">
        <f>'B. resultados tecnicos leite'!C35</f>
        <v>#DIV/0!</v>
      </c>
      <c r="D26" s="1661"/>
      <c r="E26" s="1745" t="s">
        <v>56</v>
      </c>
    </row>
    <row r="27" spans="1:6" ht="16.5" thickBot="1" x14ac:dyDescent="0.3">
      <c r="A27" s="3234" t="s">
        <v>12</v>
      </c>
      <c r="B27" s="3235"/>
      <c r="C27" s="1682" t="e">
        <f>'B. resultados tecnicos leite'!C36</f>
        <v>#DIV/0!</v>
      </c>
      <c r="D27" s="1661"/>
      <c r="E27" s="1745" t="s">
        <v>56</v>
      </c>
    </row>
    <row r="28" spans="1:6" ht="31.9" customHeight="1" thickBot="1" x14ac:dyDescent="0.3">
      <c r="A28" s="3234" t="s">
        <v>13</v>
      </c>
      <c r="B28" s="3235"/>
      <c r="C28" s="1682" t="e">
        <f>'B. resultados tecnicos leite'!C37</f>
        <v>#DIV/0!</v>
      </c>
      <c r="D28" s="1661"/>
      <c r="E28" s="1745" t="s">
        <v>56</v>
      </c>
    </row>
    <row r="29" spans="1:6" ht="15.75" x14ac:dyDescent="0.25">
      <c r="A29" s="3230" t="s">
        <v>14</v>
      </c>
      <c r="B29" s="3231"/>
      <c r="C29" s="1683" t="e">
        <f>(PRODUÇÃO!D19/(REBANHO!C8+REBANHO!C9))/365</f>
        <v>#DIV/0!</v>
      </c>
      <c r="D29" s="1661"/>
      <c r="E29" s="1745" t="s">
        <v>56</v>
      </c>
    </row>
    <row r="30" spans="1:6" ht="15.75" x14ac:dyDescent="0.25">
      <c r="A30" s="3232" t="s">
        <v>16</v>
      </c>
      <c r="B30" s="3233"/>
      <c r="C30" s="1684" t="e">
        <f>PRODUÇÃO!F19/REBANHO!C8/300</f>
        <v>#DIV/0!</v>
      </c>
      <c r="D30" s="1661"/>
      <c r="E30" s="1745" t="s">
        <v>56</v>
      </c>
    </row>
    <row r="31" spans="1:6" ht="15.75" x14ac:dyDescent="0.25">
      <c r="A31" s="3232" t="s">
        <v>607</v>
      </c>
      <c r="B31" s="3233"/>
      <c r="C31" s="1684" t="e">
        <f>(PRODUÇÃO!I19/(REBANHO!C11+REBANHO!C12))/ 365</f>
        <v>#DIV/0!</v>
      </c>
      <c r="D31" s="1661"/>
      <c r="E31" s="1745" t="s">
        <v>56</v>
      </c>
    </row>
    <row r="32" spans="1:6" ht="16.5" thickBot="1" x14ac:dyDescent="0.3">
      <c r="A32" s="3238" t="s">
        <v>727</v>
      </c>
      <c r="B32" s="3239"/>
      <c r="C32" s="1685" t="e">
        <f>'DESPESAS (Gado)'!G25/(REBANHO!C8+REBANHO!C9)</f>
        <v>#DIV/0!</v>
      </c>
      <c r="D32" s="1661"/>
      <c r="E32" s="1745" t="s">
        <v>56</v>
      </c>
    </row>
    <row r="33" spans="1:5" x14ac:dyDescent="0.2">
      <c r="A33" s="3240"/>
      <c r="B33" s="3240"/>
      <c r="C33" s="1662"/>
      <c r="D33" s="1665"/>
      <c r="E33" s="1745" t="s">
        <v>56</v>
      </c>
    </row>
    <row r="34" spans="1:5" ht="13.5" thickBot="1" x14ac:dyDescent="0.25">
      <c r="A34" s="1665"/>
      <c r="B34" s="1665"/>
      <c r="C34" s="1665"/>
      <c r="D34" s="1665"/>
      <c r="E34" s="1745" t="s">
        <v>56</v>
      </c>
    </row>
    <row r="35" spans="1:5" x14ac:dyDescent="0.2">
      <c r="A35" s="3241" t="s">
        <v>728</v>
      </c>
      <c r="B35" s="3242"/>
      <c r="C35" s="1686" t="e">
        <f>'B. resultados tecnicos leite'!C61</f>
        <v>#DIV/0!</v>
      </c>
      <c r="D35" s="1665"/>
      <c r="E35" s="1745" t="s">
        <v>56</v>
      </c>
    </row>
    <row r="36" spans="1:5" x14ac:dyDescent="0.2">
      <c r="A36" s="3236" t="s">
        <v>729</v>
      </c>
      <c r="B36" s="3237"/>
      <c r="C36" s="1687" t="e">
        <f>'B. resultados tecnicos leite'!C62</f>
        <v>#DIV/0!</v>
      </c>
      <c r="D36" s="1665"/>
      <c r="E36" s="1745" t="s">
        <v>56</v>
      </c>
    </row>
    <row r="37" spans="1:5" x14ac:dyDescent="0.2">
      <c r="A37" s="3236" t="s">
        <v>730</v>
      </c>
      <c r="B37" s="3237"/>
      <c r="C37" s="1687" t="e">
        <f>'B. resultados tecnicos leite'!C63</f>
        <v>#DIV/0!</v>
      </c>
      <c r="D37" s="1665"/>
      <c r="E37" s="1745" t="s">
        <v>56</v>
      </c>
    </row>
    <row r="38" spans="1:5" ht="13.5" thickBot="1" x14ac:dyDescent="0.25">
      <c r="A38" s="1742" t="s">
        <v>6</v>
      </c>
      <c r="B38" s="1743"/>
      <c r="C38" s="1744"/>
      <c r="D38" s="1665"/>
      <c r="E38" s="1745" t="s">
        <v>56</v>
      </c>
    </row>
    <row r="39" spans="1:5" x14ac:dyDescent="0.2">
      <c r="A39" s="1665"/>
      <c r="B39" s="1665"/>
      <c r="C39" s="1665"/>
      <c r="D39" s="1665"/>
      <c r="E39" s="1745" t="s">
        <v>56</v>
      </c>
    </row>
    <row r="40" spans="1:5" x14ac:dyDescent="0.2">
      <c r="A40" s="1665"/>
      <c r="B40" s="1665"/>
      <c r="C40" s="1665"/>
      <c r="D40" s="1665"/>
      <c r="E40" s="1745" t="s">
        <v>56</v>
      </c>
    </row>
    <row r="41" spans="1:5" x14ac:dyDescent="0.2">
      <c r="A41" s="22"/>
      <c r="B41" s="22"/>
      <c r="C41" s="22"/>
      <c r="D41" s="22"/>
      <c r="E41" s="1745" t="s">
        <v>56</v>
      </c>
    </row>
    <row r="42" spans="1:5" x14ac:dyDescent="0.2">
      <c r="A42" s="30"/>
      <c r="B42" s="30"/>
      <c r="C42" s="30"/>
      <c r="D42" s="30"/>
      <c r="E42" s="1745" t="s">
        <v>56</v>
      </c>
    </row>
    <row r="43" spans="1:5" x14ac:dyDescent="0.2">
      <c r="A43" s="30"/>
      <c r="B43" s="30"/>
      <c r="C43" s="30"/>
      <c r="D43" s="30"/>
      <c r="E43" s="1745" t="s">
        <v>56</v>
      </c>
    </row>
    <row r="44" spans="1:5" x14ac:dyDescent="0.2">
      <c r="A44" s="30"/>
      <c r="B44" s="30"/>
      <c r="C44" s="30"/>
      <c r="D44" s="30"/>
      <c r="E44" s="1745" t="s">
        <v>56</v>
      </c>
    </row>
    <row r="45" spans="1:5" x14ac:dyDescent="0.2">
      <c r="A45" s="30"/>
      <c r="B45" s="30"/>
      <c r="C45" s="30"/>
      <c r="D45" s="30"/>
      <c r="E45" s="1745" t="s">
        <v>56</v>
      </c>
    </row>
    <row r="46" spans="1:5" x14ac:dyDescent="0.2">
      <c r="A46" s="30"/>
      <c r="B46" s="30"/>
      <c r="C46" s="30"/>
      <c r="D46" s="30"/>
      <c r="E46" s="1745" t="s">
        <v>56</v>
      </c>
    </row>
    <row r="47" spans="1:5" x14ac:dyDescent="0.2">
      <c r="A47" s="30"/>
      <c r="B47" s="30"/>
      <c r="C47" s="30"/>
      <c r="D47" s="30"/>
      <c r="E47" s="1745" t="s">
        <v>56</v>
      </c>
    </row>
    <row r="48" spans="1:5" x14ac:dyDescent="0.2">
      <c r="A48" s="30"/>
      <c r="B48" s="30"/>
      <c r="C48" s="30"/>
      <c r="D48" s="30"/>
      <c r="E48" s="1745" t="s">
        <v>56</v>
      </c>
    </row>
    <row r="49" spans="1:5" x14ac:dyDescent="0.2">
      <c r="A49" s="30"/>
      <c r="B49" s="30"/>
      <c r="C49" s="30"/>
      <c r="D49" s="30"/>
      <c r="E49" s="1745" t="s">
        <v>56</v>
      </c>
    </row>
    <row r="50" spans="1:5" x14ac:dyDescent="0.2">
      <c r="A50" s="30"/>
      <c r="B50" s="30"/>
      <c r="C50" s="30"/>
      <c r="D50" s="30"/>
      <c r="E50" s="1745" t="s">
        <v>56</v>
      </c>
    </row>
    <row r="51" spans="1:5" x14ac:dyDescent="0.2">
      <c r="A51" s="30"/>
      <c r="B51" s="30"/>
      <c r="C51" s="30"/>
      <c r="D51" s="30"/>
      <c r="E51" s="1745" t="s">
        <v>56</v>
      </c>
    </row>
    <row r="52" spans="1:5" x14ac:dyDescent="0.2">
      <c r="A52" s="30"/>
      <c r="B52" s="30"/>
      <c r="C52" s="30"/>
      <c r="D52" s="30"/>
      <c r="E52" s="1745" t="s">
        <v>56</v>
      </c>
    </row>
    <row r="53" spans="1:5" x14ac:dyDescent="0.2">
      <c r="A53" s="30"/>
      <c r="B53" s="30"/>
      <c r="C53" s="30"/>
      <c r="D53" s="30"/>
      <c r="E53" s="1745" t="s">
        <v>56</v>
      </c>
    </row>
    <row r="54" spans="1:5" x14ac:dyDescent="0.2">
      <c r="A54" s="30"/>
      <c r="B54" s="30"/>
      <c r="C54" s="30"/>
      <c r="D54" s="30"/>
      <c r="E54" s="1745" t="s">
        <v>56</v>
      </c>
    </row>
    <row r="55" spans="1:5" x14ac:dyDescent="0.2">
      <c r="A55" s="30"/>
      <c r="B55" s="30"/>
      <c r="C55" s="30"/>
      <c r="D55" s="30"/>
      <c r="E55" s="1745" t="s">
        <v>56</v>
      </c>
    </row>
    <row r="56" spans="1:5" x14ac:dyDescent="0.2">
      <c r="A56" s="30"/>
      <c r="B56" s="30"/>
      <c r="C56" s="30"/>
      <c r="D56" s="30"/>
      <c r="E56" s="1745" t="s">
        <v>56</v>
      </c>
    </row>
    <row r="57" spans="1:5" x14ac:dyDescent="0.2">
      <c r="A57" s="30"/>
      <c r="B57" s="30"/>
      <c r="C57" s="30"/>
      <c r="D57" s="30"/>
      <c r="E57" s="1745" t="s">
        <v>56</v>
      </c>
    </row>
    <row r="58" spans="1:5" x14ac:dyDescent="0.2">
      <c r="A58" s="30"/>
      <c r="B58" s="30"/>
      <c r="C58" s="30"/>
      <c r="D58" s="30"/>
      <c r="E58" s="1745" t="s">
        <v>56</v>
      </c>
    </row>
    <row r="59" spans="1:5" x14ac:dyDescent="0.2">
      <c r="A59" s="30"/>
      <c r="B59" s="30"/>
      <c r="C59" s="30"/>
      <c r="D59" s="30"/>
      <c r="E59" s="1745" t="s">
        <v>56</v>
      </c>
    </row>
    <row r="60" spans="1:5" x14ac:dyDescent="0.2">
      <c r="A60" s="30"/>
      <c r="B60" s="30"/>
      <c r="C60" s="30"/>
      <c r="D60" s="30"/>
      <c r="E60" s="1745" t="s">
        <v>56</v>
      </c>
    </row>
    <row r="61" spans="1:5" x14ac:dyDescent="0.2">
      <c r="A61" s="30"/>
      <c r="B61" s="30"/>
      <c r="C61" s="30"/>
      <c r="D61" s="30"/>
      <c r="E61" s="1745" t="s">
        <v>56</v>
      </c>
    </row>
    <row r="62" spans="1:5" x14ac:dyDescent="0.2">
      <c r="A62" s="30"/>
      <c r="B62" s="30"/>
      <c r="C62" s="30"/>
      <c r="D62" s="30"/>
      <c r="E62" s="1745" t="s">
        <v>56</v>
      </c>
    </row>
    <row r="63" spans="1:5" x14ac:dyDescent="0.2">
      <c r="A63" s="30"/>
      <c r="B63" s="30"/>
      <c r="C63" s="30"/>
      <c r="D63" s="30"/>
      <c r="E63" s="1745" t="s">
        <v>56</v>
      </c>
    </row>
    <row r="64" spans="1:5" x14ac:dyDescent="0.2">
      <c r="A64" s="1745" t="s">
        <v>56</v>
      </c>
      <c r="B64" s="1745" t="s">
        <v>56</v>
      </c>
      <c r="C64" s="1745" t="s">
        <v>56</v>
      </c>
      <c r="D64" s="1745" t="s">
        <v>56</v>
      </c>
      <c r="E64" s="1745" t="s">
        <v>56</v>
      </c>
    </row>
    <row r="65" spans="1:5" x14ac:dyDescent="0.2">
      <c r="A65" s="1745" t="s">
        <v>56</v>
      </c>
      <c r="B65" s="1745" t="s">
        <v>56</v>
      </c>
      <c r="C65" s="1745" t="s">
        <v>56</v>
      </c>
      <c r="D65" s="1745" t="s">
        <v>56</v>
      </c>
      <c r="E65" s="1745" t="s">
        <v>56</v>
      </c>
    </row>
    <row r="66" spans="1:5" x14ac:dyDescent="0.2">
      <c r="A66" s="1745" t="s">
        <v>56</v>
      </c>
      <c r="B66" s="1745" t="s">
        <v>56</v>
      </c>
      <c r="C66" s="1745" t="s">
        <v>56</v>
      </c>
      <c r="D66" s="1745" t="s">
        <v>56</v>
      </c>
      <c r="E66" s="1745" t="s">
        <v>56</v>
      </c>
    </row>
    <row r="67" spans="1:5" x14ac:dyDescent="0.2">
      <c r="A67" s="1745" t="s">
        <v>56</v>
      </c>
      <c r="B67" s="1745" t="s">
        <v>56</v>
      </c>
      <c r="C67" s="1745" t="s">
        <v>56</v>
      </c>
      <c r="D67" s="1745" t="s">
        <v>56</v>
      </c>
    </row>
    <row r="68" spans="1:5" x14ac:dyDescent="0.2">
      <c r="A68" s="22"/>
      <c r="B68" s="22"/>
      <c r="C68" s="22"/>
      <c r="D68" s="22"/>
    </row>
    <row r="69" spans="1:5" x14ac:dyDescent="0.2">
      <c r="A69" s="22"/>
      <c r="B69" s="22"/>
      <c r="C69" s="22"/>
      <c r="D69" s="22"/>
    </row>
    <row r="70" spans="1:5" x14ac:dyDescent="0.2">
      <c r="A70" s="22"/>
      <c r="B70" s="22"/>
      <c r="C70" s="22"/>
      <c r="D70" s="22"/>
    </row>
    <row r="71" spans="1:5" x14ac:dyDescent="0.2">
      <c r="A71" s="22"/>
      <c r="B71" s="22"/>
      <c r="C71" s="22"/>
      <c r="D71" s="22"/>
    </row>
    <row r="72" spans="1:5" x14ac:dyDescent="0.2">
      <c r="A72" s="22"/>
      <c r="B72" s="22"/>
      <c r="C72" s="22"/>
      <c r="D72" s="22"/>
    </row>
    <row r="73" spans="1:5" x14ac:dyDescent="0.2">
      <c r="A73" s="22"/>
      <c r="B73" s="22"/>
      <c r="C73" s="22"/>
      <c r="D73" s="22"/>
    </row>
    <row r="74" spans="1:5" x14ac:dyDescent="0.2">
      <c r="A74" s="22"/>
      <c r="B74" s="22"/>
      <c r="C74" s="22"/>
      <c r="D74" s="22"/>
    </row>
    <row r="75" spans="1:5" x14ac:dyDescent="0.2">
      <c r="A75" s="22"/>
      <c r="B75" s="22"/>
      <c r="C75" s="22"/>
      <c r="D75" s="22"/>
    </row>
    <row r="76" spans="1:5" x14ac:dyDescent="0.2">
      <c r="A76" s="22"/>
      <c r="B76" s="22"/>
      <c r="C76" s="22"/>
      <c r="D76" s="22"/>
    </row>
    <row r="77" spans="1:5" x14ac:dyDescent="0.2">
      <c r="A77" s="22"/>
      <c r="B77" s="22"/>
      <c r="C77" s="22"/>
      <c r="D77" s="22"/>
    </row>
    <row r="78" spans="1:5" x14ac:dyDescent="0.2">
      <c r="A78" s="22"/>
      <c r="B78" s="22"/>
      <c r="C78" s="22"/>
      <c r="D78" s="22"/>
    </row>
    <row r="79" spans="1:5" x14ac:dyDescent="0.2">
      <c r="A79" s="22"/>
      <c r="B79" s="22"/>
      <c r="C79" s="22"/>
      <c r="D79" s="22"/>
    </row>
  </sheetData>
  <sheetProtection selectLockedCells="1" selectUnlockedCells="1"/>
  <mergeCells count="21">
    <mergeCell ref="A31:B31"/>
    <mergeCell ref="A37:B37"/>
    <mergeCell ref="A32:B32"/>
    <mergeCell ref="A33:B33"/>
    <mergeCell ref="A35:B35"/>
    <mergeCell ref="A36:B36"/>
    <mergeCell ref="A29:B29"/>
    <mergeCell ref="A30:B30"/>
    <mergeCell ref="A24:B24"/>
    <mergeCell ref="A20:B20"/>
    <mergeCell ref="A23:B23"/>
    <mergeCell ref="A25:B25"/>
    <mergeCell ref="A26:B26"/>
    <mergeCell ref="A27:B27"/>
    <mergeCell ref="A28:B28"/>
    <mergeCell ref="A4:D4"/>
    <mergeCell ref="A19:B19"/>
    <mergeCell ref="A21:B21"/>
    <mergeCell ref="A22:B22"/>
    <mergeCell ref="B13:C13"/>
    <mergeCell ref="B16:C16"/>
  </mergeCells>
  <phoneticPr fontId="93" type="noConversion"/>
  <pageMargins left="0.78740157499999996" right="0.78740157499999996" top="0.984251969" bottom="0.984251969" header="0.49212598499999999" footer="0.49212598499999999"/>
  <pageSetup paperSize="9" scale="73"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4"/>
  <dimension ref="A1:AA38"/>
  <sheetViews>
    <sheetView zoomScale="70" zoomScaleNormal="75" workbookViewId="0">
      <selection activeCell="D6" sqref="D6"/>
    </sheetView>
  </sheetViews>
  <sheetFormatPr defaultRowHeight="15" x14ac:dyDescent="0.2"/>
  <cols>
    <col min="1" max="1" width="5.140625" style="5" customWidth="1"/>
    <col min="2" max="2" width="28.28515625" style="14" customWidth="1"/>
    <col min="3" max="3" width="15" style="14" customWidth="1"/>
    <col min="4" max="4" width="22.7109375" style="14" customWidth="1"/>
    <col min="5" max="5" width="17.28515625" style="14" customWidth="1"/>
    <col min="6" max="6" width="12.85546875" style="14" customWidth="1"/>
    <col min="7" max="7" width="14.85546875" style="14" customWidth="1"/>
    <col min="8" max="8" width="11.5703125" style="14" customWidth="1"/>
    <col min="9" max="9" width="9.140625" style="14" customWidth="1"/>
    <col min="10" max="10" width="12.7109375" style="14" customWidth="1"/>
    <col min="11" max="16384" width="9.140625" style="14"/>
  </cols>
  <sheetData>
    <row r="1" spans="2:17" ht="15.75" thickBot="1" x14ac:dyDescent="0.25">
      <c r="B1" s="610" t="str">
        <f>CADASTRO!C4</f>
        <v>Digitar o nome</v>
      </c>
      <c r="C1" s="610">
        <f>CADASTRO!C12</f>
        <v>44013</v>
      </c>
      <c r="D1" s="610"/>
      <c r="E1" s="1"/>
      <c r="F1" s="1"/>
      <c r="G1" s="1"/>
      <c r="H1" s="1"/>
      <c r="I1" s="1"/>
    </row>
    <row r="2" spans="2:17" ht="20.25" x14ac:dyDescent="0.3">
      <c r="B2" s="3243" t="s">
        <v>779</v>
      </c>
      <c r="C2" s="3244"/>
      <c r="D2" s="3244"/>
      <c r="E2" s="3244"/>
      <c r="F2" s="3245"/>
      <c r="G2" s="545" t="s">
        <v>56</v>
      </c>
      <c r="H2" s="23"/>
      <c r="I2" s="23"/>
      <c r="J2" s="24"/>
      <c r="K2" s="1"/>
      <c r="L2" s="1"/>
      <c r="M2" s="1"/>
      <c r="N2" s="1"/>
      <c r="O2" s="1"/>
      <c r="P2" s="1"/>
      <c r="Q2" s="1"/>
    </row>
    <row r="3" spans="2:17" ht="16.5" thickBot="1" x14ac:dyDescent="0.3">
      <c r="B3" s="3"/>
      <c r="C3" s="21"/>
      <c r="D3" s="5"/>
      <c r="E3" s="5"/>
      <c r="F3" s="4"/>
      <c r="G3" s="545" t="s">
        <v>56</v>
      </c>
      <c r="H3" s="1"/>
      <c r="I3" s="1"/>
      <c r="J3" s="1"/>
      <c r="K3" s="1"/>
      <c r="L3" s="1"/>
      <c r="M3" s="1"/>
      <c r="N3" s="1"/>
      <c r="O3" s="1"/>
      <c r="P3" s="1"/>
      <c r="Q3" s="1"/>
    </row>
    <row r="4" spans="2:17" ht="16.5" customHeight="1" thickBot="1" x14ac:dyDescent="0.3">
      <c r="B4" s="2837" t="str">
        <f>PRODUÇÃO!B91</f>
        <v>DERIVADOS DE LEITE</v>
      </c>
      <c r="C4" s="2838"/>
      <c r="D4" s="2838"/>
      <c r="E4" s="2838"/>
      <c r="F4" s="2839"/>
      <c r="G4" s="545" t="s">
        <v>56</v>
      </c>
      <c r="H4" s="1"/>
      <c r="I4" s="1"/>
      <c r="J4" s="1"/>
      <c r="K4" s="1"/>
      <c r="L4" s="1"/>
      <c r="M4" s="1"/>
      <c r="N4" s="1"/>
      <c r="O4" s="1"/>
      <c r="P4" s="1"/>
      <c r="Q4" s="1"/>
    </row>
    <row r="5" spans="2:17" x14ac:dyDescent="0.2">
      <c r="B5" s="462" t="s">
        <v>86</v>
      </c>
      <c r="C5" s="595" t="s">
        <v>36</v>
      </c>
      <c r="D5" s="595" t="s">
        <v>37</v>
      </c>
      <c r="E5" s="596" t="s">
        <v>140</v>
      </c>
      <c r="F5" s="597" t="s">
        <v>141</v>
      </c>
      <c r="G5" s="545" t="s">
        <v>56</v>
      </c>
      <c r="H5" s="23"/>
      <c r="I5" s="23"/>
      <c r="J5" s="23"/>
      <c r="K5" s="1"/>
      <c r="L5" s="1"/>
      <c r="M5" s="1"/>
      <c r="N5" s="1"/>
      <c r="O5" s="1"/>
      <c r="P5" s="1"/>
      <c r="Q5" s="1"/>
    </row>
    <row r="6" spans="2:17" x14ac:dyDescent="0.2">
      <c r="B6" s="29"/>
      <c r="C6" s="27"/>
      <c r="D6" s="27"/>
      <c r="E6" s="27"/>
      <c r="F6" s="598">
        <f>D6*E6</f>
        <v>0</v>
      </c>
      <c r="G6" s="545" t="s">
        <v>56</v>
      </c>
      <c r="H6" s="23"/>
      <c r="I6" s="23"/>
      <c r="J6" s="23"/>
      <c r="K6" s="1"/>
      <c r="L6" s="1"/>
      <c r="M6" s="1"/>
      <c r="N6" s="1"/>
      <c r="O6" s="1"/>
      <c r="P6" s="1"/>
      <c r="Q6" s="1"/>
    </row>
    <row r="7" spans="2:17" x14ac:dyDescent="0.2">
      <c r="B7" s="29"/>
      <c r="C7" s="27"/>
      <c r="D7" s="27"/>
      <c r="E7" s="27"/>
      <c r="F7" s="598">
        <f>D7*E7</f>
        <v>0</v>
      </c>
      <c r="G7" s="545" t="s">
        <v>56</v>
      </c>
      <c r="H7" s="23"/>
      <c r="I7" s="23"/>
      <c r="J7" s="23"/>
      <c r="K7" s="1"/>
      <c r="L7" s="1"/>
      <c r="M7" s="1"/>
      <c r="N7" s="1"/>
      <c r="O7" s="1"/>
      <c r="P7" s="1"/>
      <c r="Q7" s="1"/>
    </row>
    <row r="8" spans="2:17" x14ac:dyDescent="0.2">
      <c r="B8" s="29"/>
      <c r="C8" s="27"/>
      <c r="D8" s="27"/>
      <c r="E8" s="27"/>
      <c r="F8" s="598">
        <f>D8*E8</f>
        <v>0</v>
      </c>
      <c r="G8" s="545" t="s">
        <v>56</v>
      </c>
      <c r="H8" s="23"/>
      <c r="I8" s="23"/>
      <c r="J8" s="23"/>
      <c r="K8" s="1"/>
      <c r="L8" s="1"/>
      <c r="M8" s="1"/>
      <c r="N8" s="1"/>
      <c r="O8" s="1"/>
      <c r="P8" s="1"/>
      <c r="Q8" s="1"/>
    </row>
    <row r="9" spans="2:17" x14ac:dyDescent="0.2">
      <c r="B9" s="29"/>
      <c r="C9" s="27"/>
      <c r="D9" s="27"/>
      <c r="E9" s="27"/>
      <c r="F9" s="598">
        <f>D9*E9</f>
        <v>0</v>
      </c>
      <c r="G9" s="545" t="s">
        <v>56</v>
      </c>
      <c r="H9" s="23"/>
      <c r="I9" s="23"/>
      <c r="J9" s="23"/>
      <c r="K9" s="1"/>
      <c r="L9" s="1"/>
      <c r="M9" s="1"/>
      <c r="N9" s="1"/>
      <c r="O9" s="1"/>
      <c r="P9" s="1"/>
      <c r="Q9" s="1"/>
    </row>
    <row r="10" spans="2:17" x14ac:dyDescent="0.2">
      <c r="B10" s="29"/>
      <c r="C10" s="27"/>
      <c r="D10" s="27"/>
      <c r="E10" s="27"/>
      <c r="F10" s="598">
        <f>D10*E10</f>
        <v>0</v>
      </c>
      <c r="G10" s="545" t="s">
        <v>56</v>
      </c>
      <c r="H10" s="23"/>
      <c r="I10" s="23"/>
      <c r="J10" s="23"/>
      <c r="K10" s="1"/>
      <c r="L10" s="1"/>
      <c r="M10" s="1"/>
      <c r="N10" s="1"/>
      <c r="O10" s="1"/>
      <c r="P10" s="1"/>
      <c r="Q10" s="1"/>
    </row>
    <row r="11" spans="2:17" ht="15.75" thickBot="1" x14ac:dyDescent="0.25">
      <c r="B11" s="599"/>
      <c r="C11" s="600"/>
      <c r="D11" s="1286">
        <f>SUM(D6:D10)</f>
        <v>0</v>
      </c>
      <c r="E11" s="593" t="s">
        <v>60</v>
      </c>
      <c r="F11" s="601">
        <f>SUM(F6:F10)</f>
        <v>0</v>
      </c>
      <c r="G11" s="545" t="s">
        <v>56</v>
      </c>
      <c r="H11" s="23"/>
      <c r="I11" s="23"/>
      <c r="J11" s="23"/>
      <c r="K11" s="1"/>
      <c r="L11" s="1"/>
      <c r="M11" s="1"/>
      <c r="N11" s="1"/>
      <c r="O11" s="1"/>
      <c r="P11" s="1"/>
      <c r="Q11" s="1"/>
    </row>
    <row r="12" spans="2:17" ht="15.75" thickBot="1" x14ac:dyDescent="0.25">
      <c r="B12" s="544"/>
      <c r="C12" s="25"/>
      <c r="D12" s="25"/>
      <c r="E12" s="25"/>
      <c r="F12" s="546"/>
      <c r="G12" s="545" t="s">
        <v>56</v>
      </c>
      <c r="H12" s="23"/>
      <c r="I12" s="23"/>
      <c r="J12" s="23"/>
      <c r="K12" s="1"/>
      <c r="L12" s="1"/>
      <c r="M12" s="1"/>
      <c r="N12" s="1"/>
      <c r="O12" s="1"/>
      <c r="P12" s="1"/>
      <c r="Q12" s="1"/>
    </row>
    <row r="13" spans="2:17" ht="16.5" thickBot="1" x14ac:dyDescent="0.3">
      <c r="B13" s="2837" t="str">
        <f>PRODUÇÃO!B92</f>
        <v>DERIVADOS DE SUINOS</v>
      </c>
      <c r="C13" s="2838"/>
      <c r="D13" s="2838"/>
      <c r="E13" s="2838"/>
      <c r="F13" s="2839"/>
      <c r="G13" s="545" t="s">
        <v>56</v>
      </c>
      <c r="H13" s="23"/>
      <c r="I13" s="23"/>
      <c r="J13" s="23"/>
      <c r="K13" s="1"/>
      <c r="L13" s="1"/>
      <c r="M13" s="1"/>
      <c r="N13" s="1"/>
      <c r="O13" s="1"/>
      <c r="P13" s="1"/>
      <c r="Q13" s="1"/>
    </row>
    <row r="14" spans="2:17" x14ac:dyDescent="0.2">
      <c r="B14" s="462" t="s">
        <v>86</v>
      </c>
      <c r="C14" s="595" t="s">
        <v>36</v>
      </c>
      <c r="D14" s="595" t="s">
        <v>37</v>
      </c>
      <c r="E14" s="596" t="s">
        <v>140</v>
      </c>
      <c r="F14" s="597" t="s">
        <v>141</v>
      </c>
      <c r="G14" s="545" t="s">
        <v>56</v>
      </c>
      <c r="H14" s="23"/>
      <c r="I14" s="23"/>
      <c r="J14" s="23"/>
      <c r="K14" s="1"/>
      <c r="L14" s="1"/>
      <c r="M14" s="1"/>
      <c r="N14" s="1"/>
      <c r="O14" s="1"/>
      <c r="P14" s="1"/>
      <c r="Q14" s="1"/>
    </row>
    <row r="15" spans="2:17" x14ac:dyDescent="0.2">
      <c r="B15" s="29"/>
      <c r="C15" s="27"/>
      <c r="D15" s="27"/>
      <c r="E15" s="27"/>
      <c r="F15" s="598">
        <f>D15*E15</f>
        <v>0</v>
      </c>
      <c r="G15" s="545" t="s">
        <v>56</v>
      </c>
      <c r="H15" s="23"/>
      <c r="I15" s="23"/>
      <c r="J15" s="23"/>
      <c r="K15" s="1"/>
      <c r="L15" s="1"/>
      <c r="M15" s="1"/>
      <c r="N15" s="1"/>
      <c r="O15" s="1"/>
      <c r="P15" s="1"/>
      <c r="Q15" s="1"/>
    </row>
    <row r="16" spans="2:17" x14ac:dyDescent="0.2">
      <c r="B16" s="29"/>
      <c r="C16" s="27"/>
      <c r="D16" s="27"/>
      <c r="E16" s="27"/>
      <c r="F16" s="598">
        <f>D16*E16</f>
        <v>0</v>
      </c>
      <c r="G16" s="545" t="s">
        <v>56</v>
      </c>
      <c r="H16" s="23"/>
      <c r="I16" s="23"/>
      <c r="J16" s="23"/>
      <c r="K16" s="1"/>
      <c r="L16" s="1"/>
      <c r="M16" s="1"/>
      <c r="N16" s="1"/>
      <c r="O16" s="1"/>
      <c r="P16" s="1"/>
      <c r="Q16" s="1"/>
    </row>
    <row r="17" spans="2:27" x14ac:dyDescent="0.2">
      <c r="B17" s="29"/>
      <c r="C17" s="27"/>
      <c r="D17" s="27"/>
      <c r="E17" s="27"/>
      <c r="F17" s="598">
        <f>D17*E17</f>
        <v>0</v>
      </c>
      <c r="G17" s="545" t="s">
        <v>56</v>
      </c>
      <c r="H17" s="23"/>
      <c r="I17" s="23"/>
      <c r="J17" s="23"/>
      <c r="K17" s="1"/>
      <c r="L17" s="1"/>
      <c r="M17" s="1"/>
      <c r="N17" s="1"/>
      <c r="O17" s="1"/>
      <c r="P17" s="1"/>
      <c r="Q17" s="1"/>
    </row>
    <row r="18" spans="2:27" x14ac:dyDescent="0.2">
      <c r="B18" s="29"/>
      <c r="C18" s="27"/>
      <c r="D18" s="27"/>
      <c r="E18" s="27"/>
      <c r="F18" s="598">
        <f>D18*E18</f>
        <v>0</v>
      </c>
      <c r="G18" s="545" t="s">
        <v>56</v>
      </c>
      <c r="H18" s="23"/>
      <c r="I18" s="23"/>
      <c r="J18" s="23"/>
      <c r="K18" s="1"/>
      <c r="L18" s="1"/>
      <c r="M18" s="1"/>
      <c r="N18" s="1"/>
      <c r="O18" s="1"/>
      <c r="P18" s="1"/>
      <c r="Q18" s="1"/>
    </row>
    <row r="19" spans="2:27" x14ac:dyDescent="0.2">
      <c r="B19" s="29"/>
      <c r="C19" s="27"/>
      <c r="D19" s="27"/>
      <c r="E19" s="27"/>
      <c r="F19" s="598">
        <f>D19*E19</f>
        <v>0</v>
      </c>
      <c r="G19" s="545" t="s">
        <v>56</v>
      </c>
      <c r="H19" s="23"/>
      <c r="I19" s="23"/>
      <c r="J19" s="23"/>
      <c r="K19" s="1"/>
      <c r="L19" s="1"/>
      <c r="M19" s="1"/>
      <c r="N19" s="1"/>
      <c r="O19" s="1"/>
      <c r="P19" s="1"/>
      <c r="Q19" s="1"/>
      <c r="R19" s="1"/>
      <c r="S19" s="1"/>
      <c r="T19" s="1"/>
      <c r="U19" s="1"/>
      <c r="V19" s="1"/>
      <c r="W19" s="1"/>
      <c r="X19" s="1"/>
      <c r="Y19" s="1"/>
      <c r="Z19" s="1"/>
      <c r="AA19" s="1"/>
    </row>
    <row r="20" spans="2:27" ht="15.75" thickBot="1" x14ac:dyDescent="0.25">
      <c r="B20" s="599"/>
      <c r="C20" s="600"/>
      <c r="D20" s="600">
        <f>SUM(D15:D19)</f>
        <v>0</v>
      </c>
      <c r="E20" s="593" t="s">
        <v>60</v>
      </c>
      <c r="F20" s="601">
        <f>SUM(F15:F19)</f>
        <v>0</v>
      </c>
      <c r="G20" s="545" t="s">
        <v>56</v>
      </c>
      <c r="H20" s="23"/>
      <c r="I20" s="23"/>
      <c r="J20" s="23"/>
      <c r="K20" s="1"/>
      <c r="L20" s="1"/>
      <c r="M20" s="1"/>
      <c r="N20" s="1"/>
      <c r="O20" s="1"/>
      <c r="P20" s="1"/>
      <c r="Q20" s="1"/>
      <c r="R20" s="1"/>
      <c r="S20" s="1"/>
      <c r="T20" s="1"/>
      <c r="U20" s="1"/>
      <c r="V20" s="1"/>
      <c r="W20" s="1"/>
      <c r="X20" s="1"/>
      <c r="Y20" s="1"/>
      <c r="Z20" s="1"/>
      <c r="AA20" s="1"/>
    </row>
    <row r="21" spans="2:27" x14ac:dyDescent="0.2">
      <c r="B21" s="602"/>
      <c r="C21" s="603"/>
      <c r="D21" s="603"/>
      <c r="E21" s="603"/>
      <c r="F21" s="604"/>
      <c r="G21" s="545" t="s">
        <v>56</v>
      </c>
      <c r="H21" s="23"/>
      <c r="I21" s="23"/>
      <c r="J21" s="23"/>
      <c r="K21" s="1"/>
      <c r="L21" s="1"/>
      <c r="M21" s="1"/>
      <c r="N21" s="1"/>
      <c r="O21" s="1"/>
      <c r="P21" s="1"/>
      <c r="Q21" s="1"/>
      <c r="R21" s="1"/>
      <c r="S21" s="1"/>
      <c r="T21" s="1"/>
      <c r="U21" s="1"/>
      <c r="V21" s="1"/>
      <c r="W21" s="1"/>
      <c r="X21" s="1"/>
      <c r="Y21" s="1"/>
      <c r="Z21" s="1"/>
      <c r="AA21" s="1"/>
    </row>
    <row r="22" spans="2:27" ht="15.75" thickBot="1" x14ac:dyDescent="0.25">
      <c r="B22" s="3"/>
      <c r="C22" s="5"/>
      <c r="D22" s="5"/>
      <c r="E22" s="5"/>
      <c r="F22" s="4"/>
      <c r="G22" s="545" t="s">
        <v>56</v>
      </c>
      <c r="H22" s="1"/>
      <c r="I22" s="1"/>
      <c r="J22" s="1"/>
      <c r="K22" s="1"/>
      <c r="L22" s="1"/>
      <c r="M22" s="1"/>
      <c r="N22" s="1"/>
      <c r="O22" s="1"/>
      <c r="P22" s="1"/>
      <c r="Q22" s="1"/>
      <c r="R22" s="1"/>
      <c r="S22" s="1"/>
    </row>
    <row r="23" spans="2:27" ht="16.5" thickBot="1" x14ac:dyDescent="0.3">
      <c r="B23" s="16"/>
      <c r="C23" s="153" t="s">
        <v>780</v>
      </c>
      <c r="D23" s="566"/>
      <c r="E23" s="605">
        <f>F20+F11</f>
        <v>0</v>
      </c>
      <c r="F23" s="606"/>
      <c r="G23" s="545" t="s">
        <v>56</v>
      </c>
      <c r="H23" s="1"/>
      <c r="I23" s="1"/>
      <c r="J23" s="1"/>
      <c r="K23" s="1"/>
      <c r="L23" s="1"/>
      <c r="M23" s="1"/>
      <c r="N23" s="1"/>
      <c r="O23" s="1"/>
      <c r="P23" s="1"/>
      <c r="Q23" s="1"/>
      <c r="R23" s="1"/>
      <c r="S23" s="1"/>
    </row>
    <row r="24" spans="2:27" x14ac:dyDescent="0.2">
      <c r="B24" s="545" t="s">
        <v>56</v>
      </c>
      <c r="C24" s="545" t="s">
        <v>56</v>
      </c>
      <c r="D24" s="545" t="s">
        <v>56</v>
      </c>
      <c r="E24" s="545" t="s">
        <v>56</v>
      </c>
      <c r="F24" s="545" t="s">
        <v>56</v>
      </c>
      <c r="G24" s="545" t="s">
        <v>56</v>
      </c>
      <c r="H24" s="1"/>
      <c r="I24" s="1"/>
      <c r="J24" s="1"/>
      <c r="K24" s="1"/>
      <c r="L24" s="1"/>
      <c r="M24" s="1"/>
      <c r="N24" s="1"/>
      <c r="O24" s="1"/>
      <c r="P24" s="1"/>
      <c r="Q24" s="1"/>
      <c r="R24" s="1"/>
      <c r="S24" s="1"/>
    </row>
    <row r="25" spans="2:27" x14ac:dyDescent="0.2">
      <c r="B25" s="545" t="s">
        <v>56</v>
      </c>
      <c r="C25" s="545" t="s">
        <v>56</v>
      </c>
      <c r="D25" s="545" t="s">
        <v>56</v>
      </c>
      <c r="E25" s="545" t="s">
        <v>56</v>
      </c>
      <c r="F25" s="545" t="s">
        <v>56</v>
      </c>
      <c r="G25" s="545" t="s">
        <v>56</v>
      </c>
      <c r="H25" s="1"/>
      <c r="I25" s="1"/>
      <c r="J25" s="1"/>
      <c r="K25" s="1"/>
      <c r="L25" s="1"/>
      <c r="M25" s="1"/>
      <c r="N25" s="1"/>
      <c r="O25" s="1"/>
      <c r="P25" s="1"/>
      <c r="Q25" s="1"/>
      <c r="R25" s="1"/>
      <c r="S25" s="1"/>
    </row>
    <row r="26" spans="2:27" ht="15.75" x14ac:dyDescent="0.25">
      <c r="B26" s="5"/>
      <c r="C26" s="5"/>
      <c r="D26" s="5"/>
      <c r="E26" s="97"/>
      <c r="F26" s="5"/>
      <c r="G26" s="460"/>
      <c r="H26" s="1"/>
      <c r="I26" s="1"/>
      <c r="J26" s="1"/>
      <c r="K26" s="1"/>
      <c r="L26" s="1"/>
      <c r="M26" s="1"/>
      <c r="N26" s="1"/>
      <c r="O26" s="1"/>
      <c r="P26" s="1"/>
      <c r="Q26" s="1"/>
      <c r="R26" s="1"/>
      <c r="S26" s="1"/>
    </row>
    <row r="27" spans="2:27" ht="15.75" x14ac:dyDescent="0.25">
      <c r="B27" s="5"/>
      <c r="C27" s="5"/>
      <c r="D27" s="5"/>
      <c r="E27" s="97"/>
      <c r="F27" s="5"/>
      <c r="G27" s="460"/>
      <c r="H27" s="1"/>
      <c r="I27" s="1"/>
      <c r="J27" s="1"/>
      <c r="K27" s="1"/>
      <c r="L27" s="1"/>
      <c r="M27" s="1"/>
      <c r="N27" s="1"/>
      <c r="O27" s="1"/>
      <c r="P27" s="1"/>
      <c r="Q27" s="1"/>
      <c r="R27" s="1"/>
      <c r="S27" s="1"/>
    </row>
    <row r="28" spans="2:27" ht="15.75" x14ac:dyDescent="0.25">
      <c r="B28" s="5"/>
      <c r="C28" s="5"/>
      <c r="D28" s="5"/>
      <c r="E28" s="97"/>
      <c r="F28" s="5"/>
      <c r="G28" s="460"/>
      <c r="H28" s="1"/>
      <c r="I28" s="1"/>
      <c r="J28" s="1"/>
      <c r="K28" s="1"/>
      <c r="L28" s="1"/>
      <c r="M28" s="1"/>
      <c r="N28" s="1"/>
      <c r="O28" s="1"/>
      <c r="P28" s="1"/>
      <c r="Q28" s="1"/>
      <c r="R28" s="1"/>
      <c r="S28" s="1"/>
    </row>
    <row r="29" spans="2:27" x14ac:dyDescent="0.2">
      <c r="B29" s="5"/>
      <c r="C29" s="5"/>
      <c r="D29" s="5"/>
      <c r="E29" s="5"/>
      <c r="F29" s="5"/>
      <c r="G29" s="460"/>
      <c r="H29" s="1"/>
      <c r="I29" s="1"/>
      <c r="J29" s="1"/>
      <c r="K29" s="1"/>
      <c r="L29" s="1"/>
      <c r="M29" s="1"/>
      <c r="N29" s="1"/>
      <c r="O29" s="1"/>
      <c r="P29" s="1"/>
      <c r="Q29" s="1"/>
      <c r="R29" s="1"/>
      <c r="S29" s="1"/>
    </row>
    <row r="30" spans="2:27" ht="15.75" x14ac:dyDescent="0.25">
      <c r="B30" s="607"/>
      <c r="C30" s="607"/>
      <c r="D30" s="607"/>
      <c r="E30" s="607"/>
      <c r="F30" s="607"/>
      <c r="G30" s="460"/>
      <c r="H30" s="1"/>
      <c r="I30" s="1"/>
      <c r="J30" s="1"/>
      <c r="K30" s="1"/>
      <c r="L30" s="1"/>
      <c r="M30" s="1"/>
      <c r="N30" s="1"/>
      <c r="O30" s="1"/>
      <c r="P30" s="1"/>
      <c r="Q30" s="1"/>
      <c r="R30" s="1"/>
      <c r="S30" s="1"/>
    </row>
    <row r="31" spans="2:27" x14ac:dyDescent="0.2">
      <c r="B31" s="5"/>
      <c r="C31" s="5"/>
      <c r="D31" s="5"/>
      <c r="E31" s="5"/>
      <c r="F31" s="5"/>
      <c r="G31" s="5"/>
      <c r="H31" s="1"/>
      <c r="I31" s="1"/>
      <c r="J31" s="1"/>
      <c r="K31" s="1"/>
      <c r="L31" s="1"/>
      <c r="M31" s="1"/>
      <c r="N31" s="1"/>
      <c r="O31" s="1"/>
      <c r="P31" s="1"/>
      <c r="Q31" s="1"/>
      <c r="R31" s="1"/>
      <c r="S31" s="1"/>
    </row>
    <row r="32" spans="2:27" x14ac:dyDescent="0.2">
      <c r="B32" s="1"/>
      <c r="C32" s="1"/>
      <c r="D32" s="1"/>
      <c r="E32" s="1"/>
      <c r="F32" s="1"/>
      <c r="G32" s="1"/>
      <c r="H32" s="1"/>
      <c r="I32" s="1"/>
      <c r="J32" s="1"/>
      <c r="K32" s="1"/>
      <c r="L32" s="1"/>
      <c r="M32" s="1"/>
      <c r="N32" s="1"/>
      <c r="O32" s="1"/>
      <c r="P32" s="1"/>
      <c r="Q32" s="1"/>
      <c r="R32" s="1"/>
      <c r="S32" s="1"/>
    </row>
    <row r="33" spans="2:19" x14ac:dyDescent="0.2">
      <c r="B33" s="1"/>
      <c r="C33" s="1"/>
      <c r="D33" s="1"/>
      <c r="E33" s="1"/>
      <c r="F33" s="1"/>
      <c r="G33" s="1"/>
      <c r="H33" s="1"/>
      <c r="I33" s="1"/>
      <c r="J33" s="1"/>
      <c r="K33" s="1"/>
      <c r="L33" s="1"/>
      <c r="M33" s="1"/>
      <c r="N33" s="1"/>
      <c r="O33" s="1"/>
      <c r="P33" s="1"/>
      <c r="Q33" s="1"/>
      <c r="R33" s="1"/>
      <c r="S33" s="1"/>
    </row>
    <row r="34" spans="2:19" x14ac:dyDescent="0.2">
      <c r="B34" s="1"/>
      <c r="C34" s="1"/>
      <c r="D34" s="1"/>
      <c r="E34" s="1"/>
      <c r="F34" s="1"/>
      <c r="G34" s="1"/>
      <c r="H34" s="1"/>
      <c r="I34" s="1"/>
      <c r="J34" s="1"/>
      <c r="K34" s="1"/>
      <c r="L34" s="1"/>
      <c r="M34" s="1"/>
      <c r="N34" s="1"/>
      <c r="O34" s="1"/>
      <c r="P34" s="1"/>
      <c r="Q34" s="1"/>
      <c r="R34" s="1"/>
      <c r="S34" s="1"/>
    </row>
    <row r="35" spans="2:19" x14ac:dyDescent="0.2">
      <c r="B35" s="1"/>
      <c r="C35" s="1"/>
      <c r="D35" s="1"/>
      <c r="E35" s="1"/>
      <c r="F35" s="1"/>
      <c r="G35" s="1"/>
      <c r="H35" s="1"/>
      <c r="I35" s="1"/>
      <c r="J35" s="1"/>
      <c r="K35" s="1"/>
      <c r="L35" s="1"/>
      <c r="M35" s="1"/>
      <c r="N35" s="1"/>
      <c r="O35" s="1"/>
      <c r="P35" s="1"/>
      <c r="Q35" s="1"/>
      <c r="R35" s="1"/>
      <c r="S35" s="1"/>
    </row>
    <row r="36" spans="2:19" x14ac:dyDescent="0.2">
      <c r="B36" s="1"/>
      <c r="C36" s="1"/>
      <c r="D36" s="1"/>
      <c r="E36" s="1"/>
      <c r="F36" s="1"/>
      <c r="G36" s="1"/>
      <c r="H36" s="1"/>
      <c r="I36" s="1"/>
      <c r="J36" s="1"/>
      <c r="K36" s="1"/>
      <c r="L36" s="1"/>
      <c r="M36" s="1"/>
      <c r="N36" s="1"/>
      <c r="O36" s="1"/>
      <c r="P36" s="1"/>
      <c r="Q36" s="1"/>
      <c r="R36" s="1"/>
      <c r="S36" s="1"/>
    </row>
    <row r="37" spans="2:19" x14ac:dyDescent="0.2">
      <c r="B37" s="1"/>
      <c r="C37" s="1"/>
      <c r="D37" s="1"/>
      <c r="E37" s="1"/>
      <c r="F37" s="1"/>
      <c r="G37" s="1"/>
      <c r="H37" s="1"/>
      <c r="I37" s="1"/>
      <c r="J37" s="1"/>
      <c r="K37" s="1"/>
      <c r="L37" s="1"/>
      <c r="M37" s="1"/>
      <c r="N37" s="1"/>
      <c r="O37" s="1"/>
      <c r="P37" s="1"/>
      <c r="Q37" s="1"/>
      <c r="R37" s="1"/>
      <c r="S37" s="1"/>
    </row>
    <row r="38" spans="2:19" x14ac:dyDescent="0.2">
      <c r="B38" s="1"/>
      <c r="C38" s="1"/>
      <c r="D38" s="1"/>
      <c r="E38" s="1"/>
      <c r="F38" s="1"/>
      <c r="G38" s="1"/>
      <c r="H38" s="1"/>
      <c r="I38" s="1"/>
    </row>
  </sheetData>
  <mergeCells count="3">
    <mergeCell ref="B2:F2"/>
    <mergeCell ref="B4:F4"/>
    <mergeCell ref="B13:F13"/>
  </mergeCells>
  <phoneticPr fontId="50" type="noConversion"/>
  <pageMargins left="0.78740157499999996" right="0.78740157499999996" top="0.984251969" bottom="0.984251969" header="0.49212598499999999" footer="0.49212598499999999"/>
  <pageSetup paperSize="9" scale="9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5"/>
  <dimension ref="A2:M132"/>
  <sheetViews>
    <sheetView topLeftCell="B1" zoomScaleNormal="100" workbookViewId="0">
      <pane ySplit="3" topLeftCell="A37" activePane="bottomLeft" state="frozen"/>
      <selection activeCell="D4" sqref="D4"/>
      <selection pane="bottomLeft" activeCell="D63" sqref="D63"/>
    </sheetView>
  </sheetViews>
  <sheetFormatPr defaultRowHeight="12.75" x14ac:dyDescent="0.2"/>
  <cols>
    <col min="1" max="2" width="9.140625" style="346" customWidth="1"/>
    <col min="3" max="3" width="27" style="346" customWidth="1"/>
    <col min="4" max="4" width="18" style="346" customWidth="1"/>
    <col min="5" max="5" width="16.42578125" style="346" customWidth="1"/>
    <col min="6" max="6" width="20" style="346" customWidth="1"/>
    <col min="7" max="7" width="23.85546875" style="346" customWidth="1"/>
    <col min="8" max="8" width="20.28515625" style="346" customWidth="1"/>
    <col min="9" max="9" width="19.28515625" style="346" customWidth="1"/>
    <col min="10" max="10" width="15.5703125" style="346" customWidth="1"/>
    <col min="11" max="11" width="15.28515625" style="346" customWidth="1"/>
    <col min="12" max="12" width="15.85546875" style="346" customWidth="1"/>
    <col min="13" max="13" width="10.5703125" style="346" bestFit="1" customWidth="1"/>
    <col min="14" max="16384" width="9.140625" style="346"/>
  </cols>
  <sheetData>
    <row r="2" spans="1:13" x14ac:dyDescent="0.2">
      <c r="G2" s="348"/>
      <c r="H2" s="348"/>
    </row>
    <row r="3" spans="1:13" ht="61.5" customHeight="1" x14ac:dyDescent="0.2">
      <c r="B3" s="346" t="s">
        <v>94</v>
      </c>
      <c r="D3" s="346" t="s">
        <v>157</v>
      </c>
      <c r="E3" s="346" t="s">
        <v>158</v>
      </c>
      <c r="F3" s="353" t="s">
        <v>139</v>
      </c>
      <c r="G3" s="353" t="s">
        <v>95</v>
      </c>
      <c r="H3" s="353" t="s">
        <v>285</v>
      </c>
      <c r="I3" s="353" t="s">
        <v>96</v>
      </c>
      <c r="J3" s="353" t="s">
        <v>286</v>
      </c>
      <c r="K3" s="346" t="s">
        <v>61</v>
      </c>
    </row>
    <row r="4" spans="1:13" s="354" customFormat="1" x14ac:dyDescent="0.2">
      <c r="B4" s="354">
        <f>'DESPESAS (Agr.)'!H40</f>
        <v>0</v>
      </c>
      <c r="C4" s="354">
        <f>'DESPESAS (Gado)'!C7</f>
        <v>0</v>
      </c>
      <c r="D4" s="355">
        <f>'DESPESAS (Agr.)'!H60</f>
        <v>0</v>
      </c>
      <c r="E4" s="356">
        <f>M.oBRA!G44</f>
        <v>0</v>
      </c>
      <c r="F4" s="356">
        <f>'OUTROS CUSTOS'!G15</f>
        <v>0</v>
      </c>
      <c r="G4" s="355">
        <f>'C. MÁQ.'!G$48</f>
        <v>0</v>
      </c>
      <c r="H4" s="354">
        <f ca="1">'C. MÁQ.'!G94</f>
        <v>0</v>
      </c>
      <c r="I4" s="355">
        <f>'D. INSTAL.'!G45</f>
        <v>1181.25</v>
      </c>
      <c r="J4" s="354">
        <f>'D. INSTAL.'!G46</f>
        <v>0</v>
      </c>
      <c r="K4" s="355">
        <f ca="1">D4+E4+F4+G4+H4+I4+J4</f>
        <v>1181.25</v>
      </c>
      <c r="M4" s="355"/>
    </row>
    <row r="5" spans="1:13" s="354" customFormat="1" x14ac:dyDescent="0.2">
      <c r="B5" s="354">
        <f>'DESPESAS (Agr.)'!H64</f>
        <v>0</v>
      </c>
      <c r="C5" s="354">
        <f>'DESPESAS (Gado)'!C8</f>
        <v>0</v>
      </c>
      <c r="D5" s="355">
        <f>'DESPESAS (Agr.)'!I84</f>
        <v>0</v>
      </c>
      <c r="E5" s="356">
        <f>M.oBRA!H44</f>
        <v>0</v>
      </c>
      <c r="F5" s="356">
        <f>'OUTROS CUSTOS'!H15</f>
        <v>0</v>
      </c>
      <c r="G5" s="355">
        <f>'C. MÁQ.'!H$48</f>
        <v>0</v>
      </c>
      <c r="H5" s="354">
        <f ca="1">'C. MÁQ.'!H94</f>
        <v>0</v>
      </c>
      <c r="I5" s="355">
        <f>'D. INSTAL.'!H45</f>
        <v>0</v>
      </c>
      <c r="J5" s="354">
        <f>'D. INSTAL.'!H46</f>
        <v>0</v>
      </c>
      <c r="K5" s="355">
        <f t="shared" ref="K5:K10" ca="1" si="0">D5+E5+F5+G5+H5+I5+J5</f>
        <v>0</v>
      </c>
      <c r="M5" s="355"/>
    </row>
    <row r="6" spans="1:13" s="354" customFormat="1" x14ac:dyDescent="0.2">
      <c r="A6" s="354">
        <f>SUM(B4:B6)</f>
        <v>0</v>
      </c>
      <c r="B6" s="354">
        <f>'DESPESAS (Agr.)'!I88</f>
        <v>0</v>
      </c>
      <c r="C6" s="354">
        <f>'DESPESAS (Gado)'!C9</f>
        <v>0</v>
      </c>
      <c r="D6" s="355">
        <f>'DESPESAS (Agr.)'!I108</f>
        <v>0</v>
      </c>
      <c r="E6" s="356">
        <f>M.oBRA!I44</f>
        <v>0</v>
      </c>
      <c r="F6" s="356">
        <f>'OUTROS CUSTOS'!I15</f>
        <v>0</v>
      </c>
      <c r="G6" s="355">
        <f>'C. MÁQ.'!I$48</f>
        <v>0</v>
      </c>
      <c r="H6" s="357">
        <f ca="1">'C. MÁQ.'!I94</f>
        <v>0</v>
      </c>
      <c r="I6" s="355">
        <f>'D. INSTAL.'!I45</f>
        <v>0</v>
      </c>
      <c r="J6" s="357">
        <f>'D. INSTAL.'!I46</f>
        <v>0</v>
      </c>
      <c r="K6" s="355">
        <f t="shared" ca="1" si="0"/>
        <v>0</v>
      </c>
      <c r="M6" s="355"/>
    </row>
    <row r="7" spans="1:13" x14ac:dyDescent="0.2">
      <c r="B7" s="346">
        <f>'DESPESAS (Agr.)'!I112</f>
        <v>0</v>
      </c>
      <c r="C7" s="346">
        <f>'DESPESAS (Gado)'!C10</f>
        <v>0</v>
      </c>
      <c r="D7" s="348">
        <f>'DESPESAS (Agr.)'!I132</f>
        <v>0</v>
      </c>
      <c r="E7" s="358">
        <f>M.oBRA!J44</f>
        <v>0</v>
      </c>
      <c r="F7" s="358">
        <f>'OUTROS CUSTOS'!J15</f>
        <v>0</v>
      </c>
      <c r="G7" s="348">
        <f>'C. MÁQ.'!J$48</f>
        <v>0</v>
      </c>
      <c r="H7" s="359">
        <f ca="1">'C. MÁQ.'!J94</f>
        <v>0</v>
      </c>
      <c r="I7" s="348">
        <f>'D. INSTAL.'!J45</f>
        <v>0</v>
      </c>
      <c r="J7" s="346">
        <f>'D. INSTAL.'!J46</f>
        <v>0</v>
      </c>
      <c r="K7" s="348">
        <f t="shared" ca="1" si="0"/>
        <v>0</v>
      </c>
      <c r="M7" s="348"/>
    </row>
    <row r="8" spans="1:13" x14ac:dyDescent="0.2">
      <c r="A8" s="346">
        <f>SUM(B7:B8)</f>
        <v>0</v>
      </c>
      <c r="B8" s="346">
        <f>'DESPESAS (Agr.)'!I136</f>
        <v>0</v>
      </c>
      <c r="C8" s="346">
        <f>'DESPESAS (Gado)'!C11</f>
        <v>0</v>
      </c>
      <c r="D8" s="348">
        <f>'DESPESAS (Agr.)'!I156</f>
        <v>0</v>
      </c>
      <c r="E8" s="358">
        <f>M.oBRA!K44</f>
        <v>0</v>
      </c>
      <c r="F8" s="358">
        <f>'OUTROS CUSTOS'!K15</f>
        <v>0</v>
      </c>
      <c r="G8" s="348">
        <f>'C. MÁQ.'!K$48</f>
        <v>0</v>
      </c>
      <c r="H8" s="359">
        <f ca="1">'C. MÁQ.'!K94</f>
        <v>0</v>
      </c>
      <c r="I8" s="348">
        <f>'D. INSTAL.'!K45</f>
        <v>0</v>
      </c>
      <c r="J8" s="359">
        <f>'D. INSTAL.'!K46</f>
        <v>0</v>
      </c>
      <c r="K8" s="348">
        <f t="shared" ca="1" si="0"/>
        <v>0</v>
      </c>
      <c r="M8" s="348"/>
    </row>
    <row r="9" spans="1:13" x14ac:dyDescent="0.2">
      <c r="C9" s="346">
        <f>SOLO!G30</f>
        <v>0</v>
      </c>
      <c r="D9" s="348">
        <f>'DESPESAS (Agr.)'!I358</f>
        <v>0</v>
      </c>
      <c r="E9" s="358">
        <f>M.oBRA!L50</f>
        <v>0</v>
      </c>
      <c r="F9" s="358">
        <f>'OUTROS CUSTOS'!L15</f>
        <v>0</v>
      </c>
      <c r="G9" s="348">
        <f>'C. MÁQ.'!L$48</f>
        <v>0</v>
      </c>
      <c r="H9" s="359">
        <f ca="1">'C. MÁQ.'!L94</f>
        <v>0</v>
      </c>
      <c r="I9" s="348">
        <f>'D. INSTAL.'!L45</f>
        <v>281.25</v>
      </c>
      <c r="J9" s="359">
        <f>'D. INSTAL.'!L46</f>
        <v>0</v>
      </c>
      <c r="K9" s="348">
        <f t="shared" ca="1" si="0"/>
        <v>281.25</v>
      </c>
      <c r="M9" s="348"/>
    </row>
    <row r="10" spans="1:13" x14ac:dyDescent="0.2">
      <c r="C10" s="346">
        <f>SOLO!G31</f>
        <v>0</v>
      </c>
      <c r="D10" s="348">
        <f>'DESPESAS (Agr.)'!I383</f>
        <v>0</v>
      </c>
      <c r="E10" s="358">
        <f>M.oBRA!M50</f>
        <v>0</v>
      </c>
      <c r="F10" s="358">
        <f>'OUTROS CUSTOS'!M15</f>
        <v>0</v>
      </c>
      <c r="G10" s="348">
        <f>'C. MÁQ.'!M$48</f>
        <v>0</v>
      </c>
      <c r="H10" s="359">
        <f ca="1">'C. MÁQ.'!M94</f>
        <v>0</v>
      </c>
      <c r="I10" s="348">
        <f>'D. INSTAL.'!M45</f>
        <v>0</v>
      </c>
      <c r="J10" s="359">
        <f>'D. INSTAL.'!M46</f>
        <v>0</v>
      </c>
      <c r="K10" s="348">
        <f t="shared" ca="1" si="0"/>
        <v>0</v>
      </c>
      <c r="M10" s="348"/>
    </row>
    <row r="11" spans="1:13" x14ac:dyDescent="0.2">
      <c r="C11" s="346">
        <f>SOLO!G32</f>
        <v>0</v>
      </c>
      <c r="D11" s="348">
        <f>'DESPESAS (Agr.)'!I409</f>
        <v>0</v>
      </c>
      <c r="E11" s="358">
        <f>M.oBRA!O50</f>
        <v>0</v>
      </c>
      <c r="F11" s="358">
        <f>'OUTROS CUSTOS'!N15</f>
        <v>0</v>
      </c>
      <c r="G11" s="348"/>
      <c r="H11" s="359"/>
      <c r="I11" s="348"/>
      <c r="J11" s="359"/>
      <c r="K11" s="348">
        <f>D11+E11+F11+G11+H11+I11+J11</f>
        <v>0</v>
      </c>
      <c r="M11" s="348"/>
    </row>
    <row r="12" spans="1:13" ht="13.5" thickBot="1" x14ac:dyDescent="0.25">
      <c r="C12" s="346" t="s">
        <v>294</v>
      </c>
      <c r="D12" s="348"/>
      <c r="F12" s="358"/>
      <c r="G12" s="348"/>
      <c r="H12" s="359"/>
      <c r="I12" s="348"/>
      <c r="J12" s="359"/>
      <c r="K12" s="348"/>
      <c r="M12" s="348"/>
    </row>
    <row r="13" spans="1:13" ht="13.5" thickBot="1" x14ac:dyDescent="0.25">
      <c r="C13" s="360" t="s">
        <v>82</v>
      </c>
      <c r="D13" s="361">
        <f>SUM(D4:D11)</f>
        <v>0</v>
      </c>
      <c r="E13" s="361">
        <f t="shared" ref="E13:J13" si="1">SUM(E4:E10)</f>
        <v>0</v>
      </c>
      <c r="F13" s="361">
        <f t="shared" si="1"/>
        <v>0</v>
      </c>
      <c r="G13" s="361">
        <f>SUM(G4:G12)</f>
        <v>0</v>
      </c>
      <c r="H13" s="361">
        <f t="shared" ca="1" si="1"/>
        <v>0</v>
      </c>
      <c r="I13" s="361">
        <f t="shared" si="1"/>
        <v>1462.5</v>
      </c>
      <c r="J13" s="361">
        <f t="shared" si="1"/>
        <v>0</v>
      </c>
      <c r="K13" s="362">
        <f ca="1">SUM(K4:K10)</f>
        <v>1462.5</v>
      </c>
    </row>
    <row r="14" spans="1:13" x14ac:dyDescent="0.2">
      <c r="F14" s="350"/>
    </row>
    <row r="15" spans="1:13" x14ac:dyDescent="0.2">
      <c r="F15" s="363"/>
    </row>
    <row r="16" spans="1:13" x14ac:dyDescent="0.2">
      <c r="B16" s="346">
        <f>SOLO!I18</f>
        <v>0</v>
      </c>
      <c r="C16" s="346">
        <f>SOLO!G18</f>
        <v>0</v>
      </c>
      <c r="D16" s="348">
        <f>'DESPESAS (Agr.)'!I179</f>
        <v>0</v>
      </c>
      <c r="E16" s="349"/>
      <c r="F16" s="348"/>
      <c r="G16" s="348"/>
      <c r="I16" s="348"/>
      <c r="K16" s="348"/>
    </row>
    <row r="17" spans="1:12" x14ac:dyDescent="0.2">
      <c r="B17" s="346">
        <f>SOLO!I19</f>
        <v>0</v>
      </c>
      <c r="C17" s="346">
        <f>SOLO!G19</f>
        <v>0</v>
      </c>
      <c r="D17" s="348">
        <f>'DESPESAS (Agr.)'!I202</f>
        <v>0</v>
      </c>
      <c r="E17" s="349"/>
      <c r="F17" s="348"/>
      <c r="G17" s="348"/>
      <c r="I17" s="348"/>
      <c r="K17" s="348"/>
    </row>
    <row r="18" spans="1:12" x14ac:dyDescent="0.2">
      <c r="A18" s="346">
        <f>B16+B17+B18</f>
        <v>0</v>
      </c>
      <c r="B18" s="346">
        <f>SOLO!I20</f>
        <v>0</v>
      </c>
      <c r="C18" s="346">
        <f>SOLO!G34</f>
        <v>0</v>
      </c>
      <c r="D18" s="348">
        <f>'DESPESAS (Agr.)'!I226</f>
        <v>0</v>
      </c>
      <c r="E18" s="349"/>
      <c r="F18" s="348"/>
      <c r="G18" s="348"/>
      <c r="I18" s="348"/>
      <c r="K18" s="348"/>
    </row>
    <row r="19" spans="1:12" s="364" customFormat="1" x14ac:dyDescent="0.2">
      <c r="B19" s="364">
        <f>SOLO!I22</f>
        <v>0</v>
      </c>
      <c r="C19" s="364">
        <f>SOLO!G22</f>
        <v>0</v>
      </c>
      <c r="D19" s="365">
        <f>'DESPESAS (Agr.)'!I247</f>
        <v>0</v>
      </c>
      <c r="E19" s="366"/>
      <c r="F19" s="365"/>
      <c r="G19" s="365"/>
      <c r="I19" s="365"/>
      <c r="K19" s="365"/>
    </row>
    <row r="20" spans="1:12" s="364" customFormat="1" x14ac:dyDescent="0.2">
      <c r="A20" s="364">
        <f>B19+B20</f>
        <v>0</v>
      </c>
      <c r="B20" s="364">
        <f>SOLO!I23</f>
        <v>0</v>
      </c>
      <c r="C20" s="364">
        <f>SOLO!G23</f>
        <v>0</v>
      </c>
      <c r="D20" s="365">
        <f>'DESPESAS (Agr.)'!I268</f>
        <v>0</v>
      </c>
      <c r="E20" s="366"/>
      <c r="F20" s="365"/>
      <c r="G20" s="365"/>
      <c r="H20" s="365"/>
      <c r="I20" s="365"/>
      <c r="J20" s="365"/>
      <c r="K20" s="365"/>
    </row>
    <row r="21" spans="1:12" x14ac:dyDescent="0.2">
      <c r="B21" s="346">
        <f>SOLO!K26</f>
        <v>0</v>
      </c>
      <c r="C21" s="346" t="str">
        <f>SOLO!G26</f>
        <v>sobressemeadura</v>
      </c>
      <c r="D21" s="348">
        <f>'DESPESAS (Agr.)'!I289</f>
        <v>0</v>
      </c>
      <c r="E21" s="349"/>
      <c r="F21" s="348"/>
      <c r="G21" s="348"/>
      <c r="I21" s="348"/>
      <c r="K21" s="348"/>
    </row>
    <row r="22" spans="1:12" x14ac:dyDescent="0.2">
      <c r="B22" s="346">
        <f>SOLO!K27</f>
        <v>0</v>
      </c>
      <c r="C22" s="346">
        <f>SOLO!G27</f>
        <v>0</v>
      </c>
      <c r="D22" s="348">
        <f>'DESPESAS (Agr.)'!I310</f>
        <v>0</v>
      </c>
      <c r="E22" s="349"/>
      <c r="F22" s="348"/>
      <c r="G22" s="348"/>
      <c r="I22" s="348"/>
      <c r="K22" s="348"/>
    </row>
    <row r="23" spans="1:12" ht="13.5" thickBot="1" x14ac:dyDescent="0.25">
      <c r="A23" s="346">
        <f>SUM(B21:B23)</f>
        <v>0</v>
      </c>
      <c r="B23" s="346">
        <f>SOLO!K28</f>
        <v>0</v>
      </c>
      <c r="C23" s="346">
        <f>SOLO!G28</f>
        <v>0</v>
      </c>
      <c r="D23" s="348">
        <f>'DESPESAS (Agr.)'!I333</f>
        <v>0</v>
      </c>
      <c r="E23" s="349"/>
      <c r="F23" s="348"/>
      <c r="G23" s="348"/>
      <c r="H23" s="348"/>
      <c r="I23" s="348"/>
      <c r="J23" s="348"/>
      <c r="K23" s="348"/>
    </row>
    <row r="24" spans="1:12" ht="13.5" thickBot="1" x14ac:dyDescent="0.25">
      <c r="C24" s="367" t="s">
        <v>175</v>
      </c>
      <c r="D24" s="368">
        <f>SUMIF(D16:D23,"&gt;0",D16:D23)</f>
        <v>0</v>
      </c>
      <c r="E24" s="369">
        <f>M.oBRA!O44</f>
        <v>0</v>
      </c>
      <c r="F24" s="370">
        <f>'OUTROS CUSTOS'!O15</f>
        <v>0</v>
      </c>
      <c r="G24" s="370">
        <f>'C. MÁQ.'!O48</f>
        <v>0</v>
      </c>
      <c r="H24" s="370">
        <f ca="1">'C. MÁQ.'!O49</f>
        <v>0</v>
      </c>
      <c r="I24" s="370"/>
      <c r="J24" s="370"/>
      <c r="K24" s="371">
        <f ca="1">SUM(D24:J24)</f>
        <v>0</v>
      </c>
      <c r="L24" s="348">
        <f ca="1">D24+E24+F24+H24</f>
        <v>0</v>
      </c>
    </row>
    <row r="25" spans="1:12" x14ac:dyDescent="0.2">
      <c r="B25" s="346">
        <f>SOLO!I30</f>
        <v>0</v>
      </c>
      <c r="C25" s="346">
        <f>'DESPESAS (Agr.)'!D337</f>
        <v>0</v>
      </c>
      <c r="D25" s="348"/>
      <c r="E25" s="349"/>
      <c r="F25" s="348"/>
      <c r="G25" s="348"/>
      <c r="I25" s="348"/>
      <c r="K25" s="348"/>
    </row>
    <row r="26" spans="1:12" ht="13.5" thickBot="1" x14ac:dyDescent="0.25">
      <c r="A26" s="346">
        <f>SUM(B25:B26)</f>
        <v>0</v>
      </c>
      <c r="B26" s="346">
        <f>SOLO!K32</f>
        <v>0</v>
      </c>
      <c r="C26" s="346">
        <f>'DESPESAS (Agr.)'!D362</f>
        <v>0</v>
      </c>
      <c r="D26" s="348"/>
      <c r="E26" s="349"/>
      <c r="F26" s="348"/>
      <c r="G26" s="348"/>
      <c r="H26" s="348"/>
      <c r="I26" s="348"/>
      <c r="J26" s="348"/>
      <c r="K26" s="348"/>
    </row>
    <row r="27" spans="1:12" ht="13.5" thickBot="1" x14ac:dyDescent="0.25">
      <c r="C27" s="367"/>
      <c r="D27" s="372"/>
      <c r="E27" s="369"/>
      <c r="F27" s="370"/>
    </row>
    <row r="28" spans="1:12" ht="13.5" thickBot="1" x14ac:dyDescent="0.25">
      <c r="B28" s="373"/>
      <c r="E28" s="374"/>
    </row>
    <row r="29" spans="1:12" ht="13.5" thickBot="1" x14ac:dyDescent="0.25">
      <c r="C29" s="367" t="s">
        <v>176</v>
      </c>
      <c r="D29" s="375">
        <f>D13+D24+D27</f>
        <v>0</v>
      </c>
      <c r="E29" s="350"/>
    </row>
    <row r="30" spans="1:12" x14ac:dyDescent="0.2">
      <c r="D30" s="348">
        <f>D13+D24</f>
        <v>0</v>
      </c>
      <c r="E30" s="348">
        <f t="shared" ref="E30:J30" si="2">E13+E24</f>
        <v>0</v>
      </c>
      <c r="F30" s="348">
        <f t="shared" si="2"/>
        <v>0</v>
      </c>
      <c r="G30" s="348">
        <f t="shared" si="2"/>
        <v>0</v>
      </c>
      <c r="H30" s="348">
        <f t="shared" ca="1" si="2"/>
        <v>0</v>
      </c>
      <c r="I30" s="348">
        <f t="shared" si="2"/>
        <v>1462.5</v>
      </c>
      <c r="J30" s="348">
        <f t="shared" si="2"/>
        <v>0</v>
      </c>
    </row>
    <row r="33" spans="1:11" x14ac:dyDescent="0.2">
      <c r="A33" s="376"/>
      <c r="B33" s="376"/>
      <c r="C33" s="376"/>
      <c r="D33" s="376"/>
      <c r="E33" s="376"/>
      <c r="F33" s="376"/>
      <c r="G33" s="376"/>
      <c r="H33" s="376"/>
      <c r="I33" s="376"/>
      <c r="J33" s="376"/>
    </row>
    <row r="34" spans="1:11" x14ac:dyDescent="0.2">
      <c r="A34" s="376"/>
      <c r="B34" s="376"/>
      <c r="C34" s="376"/>
      <c r="D34" s="377"/>
      <c r="E34" s="377"/>
      <c r="F34" s="377"/>
      <c r="G34" s="377"/>
      <c r="H34" s="377"/>
      <c r="I34" s="377"/>
      <c r="J34" s="376"/>
    </row>
    <row r="35" spans="1:11" x14ac:dyDescent="0.2">
      <c r="A35" s="376"/>
      <c r="B35" s="376"/>
      <c r="C35" s="376"/>
      <c r="D35" s="376"/>
      <c r="E35" s="376"/>
      <c r="F35" s="376"/>
      <c r="G35" s="376"/>
      <c r="H35" s="376"/>
      <c r="I35" s="376"/>
      <c r="J35" s="376"/>
    </row>
    <row r="36" spans="1:11" x14ac:dyDescent="0.2">
      <c r="A36" s="376"/>
      <c r="B36" s="376"/>
      <c r="C36" s="376"/>
      <c r="D36" s="377"/>
      <c r="E36" s="377"/>
      <c r="F36" s="377"/>
      <c r="G36" s="377"/>
      <c r="H36" s="377"/>
      <c r="I36" s="378"/>
      <c r="J36" s="376"/>
    </row>
    <row r="37" spans="1:11" x14ac:dyDescent="0.2">
      <c r="A37" s="376"/>
      <c r="B37" s="376"/>
      <c r="C37" s="376"/>
      <c r="D37" s="376"/>
      <c r="E37" s="376"/>
      <c r="F37" s="376"/>
      <c r="G37" s="376"/>
      <c r="H37" s="376"/>
      <c r="I37" s="376"/>
      <c r="J37" s="376"/>
    </row>
    <row r="38" spans="1:11" x14ac:dyDescent="0.2">
      <c r="C38" s="346" t="s">
        <v>167</v>
      </c>
      <c r="D38" s="357"/>
      <c r="E38" s="357"/>
      <c r="F38" s="357"/>
      <c r="G38" s="357"/>
      <c r="H38" s="357"/>
      <c r="I38" s="379"/>
    </row>
    <row r="39" spans="1:11" x14ac:dyDescent="0.2">
      <c r="D39" s="346" t="s">
        <v>166</v>
      </c>
      <c r="E39" s="346" t="str">
        <f>'C. MÁQ.'!C28</f>
        <v>LEITE</v>
      </c>
      <c r="F39" s="346">
        <f>'C. MÁQ.'!D28</f>
        <v>0</v>
      </c>
      <c r="G39" s="346">
        <f>'C. MÁQ.'!E28</f>
        <v>0</v>
      </c>
      <c r="H39" s="346">
        <f>'C. MÁQ.'!F28</f>
        <v>0</v>
      </c>
      <c r="I39" s="346" t="s">
        <v>194</v>
      </c>
    </row>
    <row r="40" spans="1:11" x14ac:dyDescent="0.2">
      <c r="C40" s="346">
        <f>C4</f>
        <v>0</v>
      </c>
      <c r="D40" s="346">
        <f>K40</f>
        <v>1</v>
      </c>
      <c r="E40" s="380">
        <f>'DESPESAS (Gado)'!E7</f>
        <v>0</v>
      </c>
      <c r="F40" s="346">
        <f>'A. DESPESAS (Outras)'!D6</f>
        <v>0</v>
      </c>
      <c r="G40" s="346">
        <f>'A. DESPESAS (Outras)'!D35</f>
        <v>0</v>
      </c>
      <c r="H40" s="346">
        <f>'A. DESPESAS (Outras)'!D62</f>
        <v>0</v>
      </c>
      <c r="I40" s="346">
        <f>PRODUÇÃO!H9</f>
        <v>0</v>
      </c>
      <c r="K40" s="346">
        <f>IF(PRODUÇÃO!L9=0,1,PRODUÇÃO!L9-PRODUÇÃO!I9)</f>
        <v>1</v>
      </c>
    </row>
    <row r="41" spans="1:11" x14ac:dyDescent="0.2">
      <c r="C41" s="346">
        <f>C5</f>
        <v>0</v>
      </c>
      <c r="D41" s="346">
        <f>K41</f>
        <v>1</v>
      </c>
      <c r="E41" s="380">
        <f>'DESPESAS (Gado)'!E8</f>
        <v>0</v>
      </c>
      <c r="F41" s="346">
        <f>'A. DESPESAS (Outras)'!D7</f>
        <v>0</v>
      </c>
      <c r="G41" s="346">
        <f>'A. DESPESAS (Outras)'!D36</f>
        <v>0</v>
      </c>
      <c r="H41" s="346">
        <f>'A. DESPESAS (Outras)'!D63</f>
        <v>0</v>
      </c>
      <c r="I41" s="346">
        <f>PRODUÇÃO!H10</f>
        <v>0</v>
      </c>
      <c r="K41" s="346">
        <f>IF(PRODUÇÃO!L10=0,1,PRODUÇÃO!L10-PRODUÇÃO!I10)</f>
        <v>1</v>
      </c>
    </row>
    <row r="42" spans="1:11" x14ac:dyDescent="0.2">
      <c r="C42" s="346">
        <f>C6</f>
        <v>0</v>
      </c>
      <c r="D42" s="346">
        <f>K42</f>
        <v>1</v>
      </c>
      <c r="E42" s="380">
        <f>'DESPESAS (Gado)'!E9</f>
        <v>0</v>
      </c>
      <c r="F42" s="346">
        <f>'A. DESPESAS (Outras)'!D8</f>
        <v>0</v>
      </c>
      <c r="G42" s="346">
        <f>'A. DESPESAS (Outras)'!D37</f>
        <v>0</v>
      </c>
      <c r="H42" s="346">
        <f>'A. DESPESAS (Outras)'!D64</f>
        <v>0</v>
      </c>
      <c r="I42" s="346">
        <f>PRODUÇÃO!H11</f>
        <v>0</v>
      </c>
      <c r="K42" s="346">
        <f>IF(PRODUÇÃO!L11=0,1,PRODUÇÃO!L11-PRODUÇÃO!I11)</f>
        <v>1</v>
      </c>
    </row>
    <row r="43" spans="1:11" x14ac:dyDescent="0.2">
      <c r="C43" s="346">
        <f>C7</f>
        <v>0</v>
      </c>
      <c r="D43" s="346">
        <f>K43</f>
        <v>1</v>
      </c>
      <c r="E43" s="380">
        <f>'DESPESAS (Gado)'!E10</f>
        <v>0</v>
      </c>
      <c r="F43" s="346">
        <f>'A. DESPESAS (Outras)'!D9</f>
        <v>0</v>
      </c>
      <c r="G43" s="346">
        <f>'A. DESPESAS (Outras)'!D38</f>
        <v>0</v>
      </c>
      <c r="H43" s="346">
        <f>'A. DESPESAS (Outras)'!D65</f>
        <v>0</v>
      </c>
      <c r="I43" s="346">
        <f>PRODUÇÃO!H12</f>
        <v>0</v>
      </c>
      <c r="K43" s="346">
        <f>IF(PRODUÇÃO!L12=0,1,PRODUÇÃO!L12-PRODUÇÃO!I12)</f>
        <v>1</v>
      </c>
    </row>
    <row r="44" spans="1:11" x14ac:dyDescent="0.2">
      <c r="C44" s="346">
        <f>C8</f>
        <v>0</v>
      </c>
      <c r="D44" s="346">
        <f>K44</f>
        <v>1</v>
      </c>
      <c r="E44" s="380">
        <f>'DESPESAS (Gado)'!E11</f>
        <v>0</v>
      </c>
      <c r="F44" s="346">
        <f>'A. DESPESAS (Outras)'!D10</f>
        <v>0</v>
      </c>
      <c r="G44" s="346">
        <f>'A. DESPESAS (Outras)'!D39</f>
        <v>0</v>
      </c>
      <c r="H44" s="346">
        <f>'A. DESPESAS (Outras)'!D66</f>
        <v>0</v>
      </c>
      <c r="I44" s="346">
        <f>PRODUÇÃO!H13</f>
        <v>0</v>
      </c>
      <c r="K44" s="346">
        <f>IF(PRODUÇÃO!L13=0,1,PRODUÇÃO!L13-PRODUÇÃO!I13)</f>
        <v>1</v>
      </c>
    </row>
    <row r="46" spans="1:11" x14ac:dyDescent="0.2">
      <c r="B46" s="346" t="s">
        <v>164</v>
      </c>
      <c r="D46" s="346" t="str">
        <f t="shared" ref="D46:J46" si="3">D3</f>
        <v>gastos cultivos (A)</v>
      </c>
      <c r="E46" s="346" t="str">
        <f t="shared" si="3"/>
        <v>mão obra (B)</v>
      </c>
      <c r="F46" s="346" t="str">
        <f t="shared" si="3"/>
        <v>outras despesas</v>
      </c>
      <c r="G46" s="346" t="str">
        <f t="shared" si="3"/>
        <v>depreciação
maquinas</v>
      </c>
      <c r="H46" s="346" t="str">
        <f t="shared" si="3"/>
        <v>conservação e reparos de maquinas</v>
      </c>
      <c r="I46" s="346" t="str">
        <f t="shared" si="3"/>
        <v>depreciação
construções</v>
      </c>
      <c r="J46" s="346" t="str">
        <f t="shared" si="3"/>
        <v>conservação reparos de construções</v>
      </c>
    </row>
    <row r="48" spans="1:11" x14ac:dyDescent="0.2">
      <c r="C48" s="346">
        <f>C40</f>
        <v>0</v>
      </c>
      <c r="D48" s="381">
        <f>D4/D40*E40</f>
        <v>0</v>
      </c>
      <c r="E48" s="381">
        <f>E4/D40*E40</f>
        <v>0</v>
      </c>
      <c r="F48" s="381">
        <f>F4/D40*E40</f>
        <v>0</v>
      </c>
      <c r="G48" s="381">
        <f>G4/$D40*E40</f>
        <v>0</v>
      </c>
      <c r="H48" s="381">
        <f ca="1">H4/$D40*E40</f>
        <v>0</v>
      </c>
      <c r="I48" s="381">
        <f>I4/$D40*E40</f>
        <v>0</v>
      </c>
      <c r="J48" s="381">
        <f>J4/$D40*E40</f>
        <v>0</v>
      </c>
    </row>
    <row r="49" spans="2:13" x14ac:dyDescent="0.2">
      <c r="C49" s="346">
        <f>C41</f>
        <v>0</v>
      </c>
      <c r="D49" s="381">
        <f>D5/D41*E41</f>
        <v>0</v>
      </c>
      <c r="E49" s="381">
        <f>E5/D41*E41</f>
        <v>0</v>
      </c>
      <c r="F49" s="381">
        <f>(F5/D41)*E41</f>
        <v>0</v>
      </c>
      <c r="G49" s="381">
        <f>G5/D41*E41</f>
        <v>0</v>
      </c>
      <c r="H49" s="381">
        <f ca="1">H5/$D41*E41</f>
        <v>0</v>
      </c>
      <c r="I49" s="381">
        <f>I5/D41*E41</f>
        <v>0</v>
      </c>
      <c r="J49" s="381">
        <f>J5/$D41*E41</f>
        <v>0</v>
      </c>
    </row>
    <row r="50" spans="2:13" x14ac:dyDescent="0.2">
      <c r="C50" s="346">
        <f>C42</f>
        <v>0</v>
      </c>
      <c r="D50" s="381">
        <f>D6/D42*E42</f>
        <v>0</v>
      </c>
      <c r="E50" s="381">
        <f>E6/D42*E42</f>
        <v>0</v>
      </c>
      <c r="F50" s="381">
        <f>F6/D42*E42</f>
        <v>0</v>
      </c>
      <c r="G50" s="381">
        <f>G6/D42*E42</f>
        <v>0</v>
      </c>
      <c r="H50" s="381">
        <f ca="1">H6/$D42*E42</f>
        <v>0</v>
      </c>
      <c r="I50" s="381">
        <f>I6/D42*E42</f>
        <v>0</v>
      </c>
      <c r="J50" s="381">
        <f>J6/$D42*E42</f>
        <v>0</v>
      </c>
    </row>
    <row r="51" spans="2:13" x14ac:dyDescent="0.2">
      <c r="C51" s="346">
        <f>C43</f>
        <v>0</v>
      </c>
      <c r="D51" s="381">
        <f>D7/D43*E43</f>
        <v>0</v>
      </c>
      <c r="E51" s="381">
        <f>E7/D43*E43</f>
        <v>0</v>
      </c>
      <c r="F51" s="381">
        <f>F7/D43*E43</f>
        <v>0</v>
      </c>
      <c r="G51" s="381">
        <f>G7/D43*E43</f>
        <v>0</v>
      </c>
      <c r="H51" s="381">
        <f ca="1">H7/$D43*E43</f>
        <v>0</v>
      </c>
      <c r="I51" s="381">
        <f>I7/D43*E43</f>
        <v>0</v>
      </c>
      <c r="J51" s="381">
        <f>J7/$D43*E43</f>
        <v>0</v>
      </c>
    </row>
    <row r="52" spans="2:13" x14ac:dyDescent="0.2">
      <c r="C52" s="346">
        <f>C44</f>
        <v>0</v>
      </c>
      <c r="D52" s="381">
        <f>D8/D44*E44</f>
        <v>0</v>
      </c>
      <c r="E52" s="381">
        <f>E8/D44*E44</f>
        <v>0</v>
      </c>
      <c r="F52" s="381">
        <f>F8/D44*E44</f>
        <v>0</v>
      </c>
      <c r="G52" s="381">
        <f>G8/D44*E44</f>
        <v>0</v>
      </c>
      <c r="H52" s="381">
        <f ca="1">H8/$D44*E44</f>
        <v>0</v>
      </c>
      <c r="I52" s="381">
        <f>I8/D44*E44</f>
        <v>0</v>
      </c>
      <c r="J52" s="381">
        <f>J8/$D44*E44</f>
        <v>0</v>
      </c>
    </row>
    <row r="53" spans="2:13" x14ac:dyDescent="0.2">
      <c r="C53" s="346">
        <f t="shared" ref="C53:D55" si="4">C9</f>
        <v>0</v>
      </c>
      <c r="D53" s="381">
        <f>D9</f>
        <v>0</v>
      </c>
      <c r="E53" s="381">
        <f>M.oBRA!L44</f>
        <v>0</v>
      </c>
      <c r="F53" s="381">
        <f>'OUTROS CUSTOS'!L15</f>
        <v>0</v>
      </c>
      <c r="G53" s="381">
        <f>'C. MÁQ.'!L48</f>
        <v>0</v>
      </c>
      <c r="H53" s="381">
        <f ca="1">'C. MÁQ.'!L49</f>
        <v>0</v>
      </c>
      <c r="I53" s="381">
        <f>'D. INSTAL.'!L45</f>
        <v>281.25</v>
      </c>
      <c r="J53" s="381">
        <f>'D. INSTAL.'!L46</f>
        <v>0</v>
      </c>
    </row>
    <row r="54" spans="2:13" x14ac:dyDescent="0.2">
      <c r="C54" s="346">
        <f t="shared" si="4"/>
        <v>0</v>
      </c>
      <c r="D54" s="381">
        <f t="shared" si="4"/>
        <v>0</v>
      </c>
      <c r="E54" s="381">
        <f>M.oBRA!M44</f>
        <v>0</v>
      </c>
      <c r="F54" s="381">
        <f>'OUTROS CUSTOS'!M15</f>
        <v>0</v>
      </c>
      <c r="G54" s="381">
        <f>'C. MÁQ.'!M48</f>
        <v>0</v>
      </c>
      <c r="H54" s="381">
        <f ca="1">'C. MÁQ.'!M49</f>
        <v>0</v>
      </c>
      <c r="I54" s="381">
        <f>'D. INSTAL.'!M45</f>
        <v>0</v>
      </c>
      <c r="J54" s="381">
        <f>'D. INSTAL.'!M46</f>
        <v>0</v>
      </c>
    </row>
    <row r="55" spans="2:13" x14ac:dyDescent="0.2">
      <c r="C55" s="346">
        <f t="shared" si="4"/>
        <v>0</v>
      </c>
      <c r="D55" s="381">
        <f t="shared" si="4"/>
        <v>0</v>
      </c>
      <c r="E55" s="381">
        <f>M.oBRA!N44</f>
        <v>0</v>
      </c>
      <c r="F55" s="381">
        <f>'OUTROS CUSTOS'!N15</f>
        <v>0</v>
      </c>
      <c r="G55" s="381"/>
      <c r="H55" s="381"/>
      <c r="I55" s="381"/>
      <c r="J55" s="381"/>
    </row>
    <row r="56" spans="2:13" x14ac:dyDescent="0.2">
      <c r="D56" s="381"/>
      <c r="E56" s="381"/>
      <c r="F56" s="381"/>
      <c r="G56" s="381"/>
      <c r="H56" s="381"/>
      <c r="I56" s="381"/>
      <c r="J56" s="381"/>
    </row>
    <row r="57" spans="2:13" x14ac:dyDescent="0.2">
      <c r="C57" s="407" t="s">
        <v>61</v>
      </c>
      <c r="D57" s="382">
        <f>SUM(SUMIF(D48:D56,"&gt;0",D48:D56))</f>
        <v>0</v>
      </c>
      <c r="E57" s="382">
        <f t="shared" ref="E57:I57" si="5">SUM(SUMIF(E48:E56,"&gt;0",E48:E56))</f>
        <v>0</v>
      </c>
      <c r="F57" s="382">
        <f>SUM(SUMIF(F48:F56,"&gt;0",F48:F56))</f>
        <v>0</v>
      </c>
      <c r="G57" s="382">
        <f t="shared" si="5"/>
        <v>0</v>
      </c>
      <c r="H57" s="382">
        <f ca="1">SUM(SUMIF(H48:H56,"&gt;0",H48:H56))</f>
        <v>0</v>
      </c>
      <c r="I57" s="382">
        <f t="shared" si="5"/>
        <v>281.25</v>
      </c>
      <c r="J57" s="382">
        <f>SUM(SUMIF(J48:J56,"&gt;0",J48:J56))</f>
        <v>0</v>
      </c>
      <c r="K57" s="383">
        <f ca="1">SUM(D57:J57)</f>
        <v>281.25</v>
      </c>
      <c r="L57" s="384">
        <f ca="1">'F. resultad econ. glob. detalh'!B43+'F. resultad econ. glob. detalh'!B52</f>
        <v>0</v>
      </c>
      <c r="M57" s="381"/>
    </row>
    <row r="58" spans="2:13" x14ac:dyDescent="0.2">
      <c r="C58" s="627" t="s">
        <v>428</v>
      </c>
      <c r="D58" s="628">
        <f>SUM(D48:D52)</f>
        <v>0</v>
      </c>
      <c r="E58" s="628">
        <f t="shared" ref="E58:J58" si="6">SUM(E48:E52)</f>
        <v>0</v>
      </c>
      <c r="F58" s="628">
        <f>SUM(F48:F52)</f>
        <v>0</v>
      </c>
      <c r="G58" s="628">
        <f t="shared" si="6"/>
        <v>0</v>
      </c>
      <c r="H58" s="628">
        <f t="shared" ca="1" si="6"/>
        <v>0</v>
      </c>
      <c r="I58" s="628">
        <f t="shared" si="6"/>
        <v>0</v>
      </c>
      <c r="J58" s="628">
        <f t="shared" si="6"/>
        <v>0</v>
      </c>
      <c r="K58" s="381">
        <f ca="1">D57+E57+F57+H57+J57</f>
        <v>0</v>
      </c>
    </row>
    <row r="61" spans="2:13" x14ac:dyDescent="0.2">
      <c r="B61" s="346" t="s">
        <v>156</v>
      </c>
      <c r="D61" s="346" t="str">
        <f>D3</f>
        <v>gastos cultivos (A)</v>
      </c>
      <c r="E61" s="346" t="str">
        <f>E3</f>
        <v>mão obra (B)</v>
      </c>
      <c r="F61" s="346" t="str">
        <f>F3</f>
        <v>outras despesas</v>
      </c>
      <c r="G61" s="346" t="str">
        <f>G3</f>
        <v>depreciação
maquinas</v>
      </c>
      <c r="I61" s="346" t="str">
        <f>I3</f>
        <v>depreciação
construções</v>
      </c>
    </row>
    <row r="62" spans="2:13" x14ac:dyDescent="0.2">
      <c r="C62" s="346">
        <f>C4</f>
        <v>0</v>
      </c>
      <c r="D62" s="349">
        <f>D4/D40*PRODUÇÃO!H9</f>
        <v>0</v>
      </c>
      <c r="E62" s="349">
        <f>E4/D40*PRODUÇÃO!H9</f>
        <v>0</v>
      </c>
      <c r="F62" s="349">
        <f>F4/D40*PRODUÇÃO!H9</f>
        <v>0</v>
      </c>
      <c r="G62" s="349">
        <f>G4/D40*PRODUÇÃO!H9</f>
        <v>0</v>
      </c>
      <c r="H62" s="349">
        <f ca="1">H4/$D40*I40</f>
        <v>0</v>
      </c>
      <c r="I62" s="385">
        <f>I4/$D40*PRODUÇÃO!H9</f>
        <v>0</v>
      </c>
      <c r="J62" s="385">
        <f>J4/$D40*I40</f>
        <v>0</v>
      </c>
    </row>
    <row r="63" spans="2:13" x14ac:dyDescent="0.2">
      <c r="C63" s="346">
        <f>C5</f>
        <v>0</v>
      </c>
      <c r="D63" s="349">
        <f>D5/D41*PRODUÇÃO!H10</f>
        <v>0</v>
      </c>
      <c r="E63" s="349">
        <f>E5/D41*PRODUÇÃO!H10</f>
        <v>0</v>
      </c>
      <c r="F63" s="349">
        <f>F5/D41*PRODUÇÃO!H10</f>
        <v>0</v>
      </c>
      <c r="G63" s="349">
        <f>G5/D41*PRODUÇÃO!H10</f>
        <v>0</v>
      </c>
      <c r="H63" s="349">
        <f ca="1">H5/$D41*I41</f>
        <v>0</v>
      </c>
      <c r="I63" s="385">
        <f>I5/D41*PRODUÇÃO!H10</f>
        <v>0</v>
      </c>
      <c r="J63" s="385">
        <f>J5/$D41*I41</f>
        <v>0</v>
      </c>
    </row>
    <row r="64" spans="2:13" x14ac:dyDescent="0.2">
      <c r="C64" s="346">
        <f>C6</f>
        <v>0</v>
      </c>
      <c r="D64" s="349">
        <f>D6/D42*PRODUÇÃO!H11</f>
        <v>0</v>
      </c>
      <c r="E64" s="349">
        <f>E6/D42*PRODUÇÃO!H11</f>
        <v>0</v>
      </c>
      <c r="F64" s="349">
        <f>F6/D42*PRODUÇÃO!H11</f>
        <v>0</v>
      </c>
      <c r="G64" s="349">
        <f>G6/D42*PRODUÇÃO!H11</f>
        <v>0</v>
      </c>
      <c r="H64" s="349">
        <f ca="1">H6/$D42*I42</f>
        <v>0</v>
      </c>
      <c r="I64" s="385">
        <f>I6/D42*PRODUÇÃO!H11</f>
        <v>0</v>
      </c>
      <c r="J64" s="385">
        <f>J6/$D42*I42</f>
        <v>0</v>
      </c>
    </row>
    <row r="65" spans="2:12" x14ac:dyDescent="0.2">
      <c r="C65" s="346">
        <f>C7</f>
        <v>0</v>
      </c>
      <c r="D65" s="349">
        <f>D7/D43*PRODUÇÃO!H12</f>
        <v>0</v>
      </c>
      <c r="E65" s="349">
        <f>E7/D43*PRODUÇÃO!H12</f>
        <v>0</v>
      </c>
      <c r="F65" s="349">
        <f>F7/D43*PRODUÇÃO!H12</f>
        <v>0</v>
      </c>
      <c r="G65" s="349">
        <f>G7/D43*PRODUÇÃO!H12</f>
        <v>0</v>
      </c>
      <c r="H65" s="349">
        <f ca="1">H7/$D43*I43</f>
        <v>0</v>
      </c>
      <c r="I65" s="385">
        <f>I7/D43*PRODUÇÃO!H12</f>
        <v>0</v>
      </c>
      <c r="J65" s="385">
        <f>J7/$D43*I43</f>
        <v>0</v>
      </c>
    </row>
    <row r="66" spans="2:12" ht="13.5" thickBot="1" x14ac:dyDescent="0.25">
      <c r="C66" s="346">
        <f>C8</f>
        <v>0</v>
      </c>
      <c r="D66" s="349">
        <f>D8/D44*PRODUÇÃO!H13</f>
        <v>0</v>
      </c>
      <c r="E66" s="349">
        <f>E8/D44*PRODUÇÃO!H13</f>
        <v>0</v>
      </c>
      <c r="F66" s="349">
        <f>F8/D44*PRODUÇÃO!H13</f>
        <v>0</v>
      </c>
      <c r="G66" s="349">
        <f>G8/D44*PRODUÇÃO!H13</f>
        <v>0</v>
      </c>
      <c r="H66" s="349">
        <f ca="1">H8/$D44*I44</f>
        <v>0</v>
      </c>
      <c r="I66" s="385">
        <f>I8/D44*PRODUÇÃO!H13</f>
        <v>0</v>
      </c>
      <c r="J66" s="385">
        <f>J8/$D44*I44</f>
        <v>0</v>
      </c>
    </row>
    <row r="67" spans="2:12" ht="13.5" thickBot="1" x14ac:dyDescent="0.25">
      <c r="D67" s="386">
        <f t="shared" ref="D67:J67" si="7">SUM(SUMIF(D62:D66,"&gt;0",D62:D66))</f>
        <v>0</v>
      </c>
      <c r="E67" s="387">
        <f t="shared" si="7"/>
        <v>0</v>
      </c>
      <c r="F67" s="387">
        <f t="shared" si="7"/>
        <v>0</v>
      </c>
      <c r="G67" s="387">
        <f t="shared" si="7"/>
        <v>0</v>
      </c>
      <c r="H67" s="387">
        <f t="shared" ca="1" si="7"/>
        <v>0</v>
      </c>
      <c r="I67" s="387">
        <f t="shared" si="7"/>
        <v>0</v>
      </c>
      <c r="J67" s="387">
        <f t="shared" si="7"/>
        <v>0</v>
      </c>
      <c r="K67" s="381">
        <f ca="1">SUM(D67:J67)</f>
        <v>0</v>
      </c>
    </row>
    <row r="69" spans="2:12" x14ac:dyDescent="0.2">
      <c r="B69" s="346" t="s">
        <v>159</v>
      </c>
      <c r="L69" s="388" t="s">
        <v>345</v>
      </c>
    </row>
    <row r="70" spans="2:12" x14ac:dyDescent="0.2">
      <c r="C70" s="346">
        <f>C62</f>
        <v>0</v>
      </c>
      <c r="D70" s="348">
        <f>D4/D40*'A. DESPESAS (Outras)'!D6</f>
        <v>0</v>
      </c>
      <c r="E70" s="348">
        <f>E4/D40*'A. DESPESAS (Outras)'!D6</f>
        <v>0</v>
      </c>
      <c r="F70" s="348">
        <f>F4/D40*'A. DESPESAS (Outras)'!D6</f>
        <v>0</v>
      </c>
      <c r="G70" s="348">
        <f>G4/$D40*'A. DESPESAS (Outras)'!D6</f>
        <v>0</v>
      </c>
      <c r="H70" s="348">
        <f ca="1">H4/$D40*F40</f>
        <v>0</v>
      </c>
      <c r="I70" s="348">
        <f>I4/$D40*'A. DESPESAS (Outras)'!D6</f>
        <v>0</v>
      </c>
      <c r="J70" s="348">
        <f>J4/$D40*F40</f>
        <v>0</v>
      </c>
      <c r="L70" s="388" t="e">
        <f>'res. custo cultivo e criação  '!$C$225/'resumo gastos CULTIVOS'!D40*'resumo gastos CULTIVOS'!D70</f>
        <v>#VALUE!</v>
      </c>
    </row>
    <row r="71" spans="2:12" x14ac:dyDescent="0.2">
      <c r="C71" s="346">
        <f>C63</f>
        <v>0</v>
      </c>
      <c r="D71" s="348">
        <f>D5/D41*'A. DESPESAS (Outras)'!D7</f>
        <v>0</v>
      </c>
      <c r="E71" s="348">
        <f>E5/D41*'A. DESPESAS (Outras)'!D7</f>
        <v>0</v>
      </c>
      <c r="F71" s="348">
        <f>F5/D41*'A. DESPESAS (Outras)'!D7</f>
        <v>0</v>
      </c>
      <c r="G71" s="348">
        <f>G5/D41*'A. DESPESAS (Outras)'!D7</f>
        <v>0</v>
      </c>
      <c r="H71" s="348">
        <f ca="1">H5/$D41*F41</f>
        <v>0</v>
      </c>
      <c r="I71" s="348">
        <f>I5/D41*'A. DESPESAS (Outras)'!D7</f>
        <v>0</v>
      </c>
      <c r="J71" s="348">
        <f>J5/$D41*F41</f>
        <v>0</v>
      </c>
      <c r="L71" s="388" t="e">
        <f>'res. custo cultivo e criação  '!$C$225/'resumo gastos CULTIVOS'!D41*'resumo gastos CULTIVOS'!D71</f>
        <v>#VALUE!</v>
      </c>
    </row>
    <row r="72" spans="2:12" x14ac:dyDescent="0.2">
      <c r="C72" s="346">
        <f>C64</f>
        <v>0</v>
      </c>
      <c r="D72" s="348">
        <f>D6/D42*'A. DESPESAS (Outras)'!D8</f>
        <v>0</v>
      </c>
      <c r="E72" s="348">
        <f>E6/D42*'A. DESPESAS (Outras)'!D8</f>
        <v>0</v>
      </c>
      <c r="F72" s="348">
        <f>F6/D42*'A. DESPESAS (Outras)'!D8</f>
        <v>0</v>
      </c>
      <c r="G72" s="348">
        <f>G6/D42*'A. DESPESAS (Outras)'!D8</f>
        <v>0</v>
      </c>
      <c r="H72" s="348">
        <f ca="1">H6/$D42*F42</f>
        <v>0</v>
      </c>
      <c r="I72" s="348">
        <f>I6/D42*'A. DESPESAS (Outras)'!D8</f>
        <v>0</v>
      </c>
      <c r="J72" s="348">
        <f>J6/$D42*F42</f>
        <v>0</v>
      </c>
      <c r="K72" s="348"/>
      <c r="L72" s="388" t="e">
        <f>'res. custo cultivo e criação  '!$C$225/'resumo gastos CULTIVOS'!D42*'resumo gastos CULTIVOS'!D72</f>
        <v>#VALUE!</v>
      </c>
    </row>
    <row r="73" spans="2:12" x14ac:dyDescent="0.2">
      <c r="C73" s="346">
        <f>C65</f>
        <v>0</v>
      </c>
      <c r="D73" s="348">
        <f>D7/D43*'A. DESPESAS (Outras)'!D9</f>
        <v>0</v>
      </c>
      <c r="E73" s="348">
        <f>E7/D43*'A. DESPESAS (Outras)'!D9</f>
        <v>0</v>
      </c>
      <c r="F73" s="348">
        <f>F7/D43*'A. DESPESAS (Outras)'!D9</f>
        <v>0</v>
      </c>
      <c r="G73" s="348">
        <f>G7/D43*'A. DESPESAS (Outras)'!D9</f>
        <v>0</v>
      </c>
      <c r="H73" s="348">
        <f ca="1">H7/$D43*F43</f>
        <v>0</v>
      </c>
      <c r="I73" s="348">
        <f>I7/D43*'A. DESPESAS (Outras)'!D9</f>
        <v>0</v>
      </c>
      <c r="J73" s="348">
        <f>J7/$D43*F43</f>
        <v>0</v>
      </c>
      <c r="L73" s="388" t="e">
        <f>'res. custo cultivo e criação  '!$C$225/'resumo gastos CULTIVOS'!D43*'resumo gastos CULTIVOS'!D73</f>
        <v>#VALUE!</v>
      </c>
    </row>
    <row r="74" spans="2:12" x14ac:dyDescent="0.2">
      <c r="C74" s="346">
        <f>C66</f>
        <v>0</v>
      </c>
      <c r="D74" s="348">
        <f>D8/D44*'A. DESPESAS (Outras)'!D10</f>
        <v>0</v>
      </c>
      <c r="E74" s="348">
        <f>E8/D44*'A. DESPESAS (Outras)'!D10</f>
        <v>0</v>
      </c>
      <c r="F74" s="348">
        <f>F8/D44*'A. DESPESAS (Outras)'!D10</f>
        <v>0</v>
      </c>
      <c r="G74" s="348">
        <f>G8/D44*'A. DESPESAS (Outras)'!D10</f>
        <v>0</v>
      </c>
      <c r="H74" s="348">
        <f ca="1">H8/$D44*F44</f>
        <v>0</v>
      </c>
      <c r="I74" s="348">
        <f>I8/D44*'A. DESPESAS (Outras)'!D10</f>
        <v>0</v>
      </c>
      <c r="J74" s="348">
        <f>J8/$D44*F44</f>
        <v>0</v>
      </c>
      <c r="L74" s="388" t="e">
        <f>'res. custo cultivo e criação  '!$C$225/'resumo gastos CULTIVOS'!D44*'resumo gastos CULTIVOS'!D74</f>
        <v>#VALUE!</v>
      </c>
    </row>
    <row r="75" spans="2:12" x14ac:dyDescent="0.2">
      <c r="D75" s="389">
        <f t="shared" ref="D75:J75" si="8">SUM(SUMIF(D70:D74,"&gt;0",D70:D74))</f>
        <v>0</v>
      </c>
      <c r="E75" s="389">
        <f t="shared" si="8"/>
        <v>0</v>
      </c>
      <c r="F75" s="389">
        <f t="shared" si="8"/>
        <v>0</v>
      </c>
      <c r="G75" s="389">
        <f t="shared" si="8"/>
        <v>0</v>
      </c>
      <c r="H75" s="389">
        <f t="shared" ca="1" si="8"/>
        <v>0</v>
      </c>
      <c r="I75" s="389">
        <f t="shared" si="8"/>
        <v>0</v>
      </c>
      <c r="J75" s="389">
        <f t="shared" si="8"/>
        <v>0</v>
      </c>
      <c r="K75" s="389"/>
      <c r="L75" s="390">
        <f>SUM(SUMIF(L70:L74,"&gt;0",L70:L74))</f>
        <v>0</v>
      </c>
    </row>
    <row r="76" spans="2:12" x14ac:dyDescent="0.2">
      <c r="L76" s="388"/>
    </row>
    <row r="77" spans="2:12" x14ac:dyDescent="0.2">
      <c r="B77" s="346" t="s">
        <v>160</v>
      </c>
      <c r="L77" s="388"/>
    </row>
    <row r="78" spans="2:12" x14ac:dyDescent="0.2">
      <c r="L78" s="388"/>
    </row>
    <row r="79" spans="2:12" x14ac:dyDescent="0.2">
      <c r="C79" s="346">
        <f>C70</f>
        <v>0</v>
      </c>
      <c r="D79" s="348">
        <f>D4/D40*'A. DESPESAS (Outras)'!D35</f>
        <v>0</v>
      </c>
      <c r="E79" s="348">
        <f>E4/D40*'A. DESPESAS (Outras)'!D35</f>
        <v>0</v>
      </c>
      <c r="F79" s="348">
        <f>F4/D40*'A. DESPESAS (Outras)'!D35</f>
        <v>0</v>
      </c>
      <c r="G79" s="348">
        <f>G4/$D40*'A. DESPESAS (Outras)'!D35</f>
        <v>0</v>
      </c>
      <c r="H79" s="348">
        <f ca="1">H4/$D40*G40</f>
        <v>0</v>
      </c>
      <c r="I79" s="348">
        <f>I4/$D40*'A. DESPESAS (Outras)'!D35</f>
        <v>0</v>
      </c>
      <c r="J79" s="348">
        <f>J4/$D40*'A. DESPESAS (Outras)'!D35</f>
        <v>0</v>
      </c>
      <c r="L79" s="391" t="e">
        <f>'res. custo cultivo e criação  '!$C$225/'resumo gastos CULTIVOS'!D40*'resumo gastos CULTIVOS'!D79</f>
        <v>#VALUE!</v>
      </c>
    </row>
    <row r="80" spans="2:12" x14ac:dyDescent="0.2">
      <c r="C80" s="346">
        <f>C71</f>
        <v>0</v>
      </c>
      <c r="D80" s="348">
        <f>D5/D41*'A. DESPESAS (Outras)'!D36</f>
        <v>0</v>
      </c>
      <c r="E80" s="348">
        <f>E5/D41*'A. DESPESAS (Outras)'!D36</f>
        <v>0</v>
      </c>
      <c r="F80" s="348">
        <f>F5/D41*'A. DESPESAS (Outras)'!D36</f>
        <v>0</v>
      </c>
      <c r="G80" s="348">
        <f>G5/D41*'A. DESPESAS (Outras)'!D36</f>
        <v>0</v>
      </c>
      <c r="H80" s="348">
        <f ca="1">H5/$D41*G41</f>
        <v>0</v>
      </c>
      <c r="I80" s="348">
        <f>I5/D41*'A. DESPESAS (Outras)'!D36</f>
        <v>0</v>
      </c>
      <c r="J80" s="348">
        <f>J5/$D41*'A. DESPESAS (Outras)'!D36</f>
        <v>0</v>
      </c>
      <c r="L80" s="391" t="e">
        <f>'res. custo cultivo e criação  '!$C$225/'resumo gastos CULTIVOS'!D41*'resumo gastos CULTIVOS'!D80</f>
        <v>#VALUE!</v>
      </c>
    </row>
    <row r="81" spans="2:12" x14ac:dyDescent="0.2">
      <c r="C81" s="346">
        <f>C72</f>
        <v>0</v>
      </c>
      <c r="D81" s="348">
        <f>D6/D42*'A. DESPESAS (Outras)'!D37</f>
        <v>0</v>
      </c>
      <c r="E81" s="348">
        <f>E6/D42*'A. DESPESAS (Outras)'!D37</f>
        <v>0</v>
      </c>
      <c r="F81" s="348">
        <f>F6/D42*'A. DESPESAS (Outras)'!D37</f>
        <v>0</v>
      </c>
      <c r="G81" s="348">
        <f>G6/D42*'A. DESPESAS (Outras)'!D37</f>
        <v>0</v>
      </c>
      <c r="H81" s="348">
        <f ca="1">H6/$D42*G42</f>
        <v>0</v>
      </c>
      <c r="I81" s="348">
        <f>I6/D42*'A. DESPESAS (Outras)'!D37</f>
        <v>0</v>
      </c>
      <c r="J81" s="348">
        <f>J6/$D42*'A. DESPESAS (Outras)'!D37</f>
        <v>0</v>
      </c>
      <c r="L81" s="391" t="e">
        <f>'res. custo cultivo e criação  '!$C$225/'resumo gastos CULTIVOS'!D42*'resumo gastos CULTIVOS'!D81</f>
        <v>#VALUE!</v>
      </c>
    </row>
    <row r="82" spans="2:12" x14ac:dyDescent="0.2">
      <c r="C82" s="346">
        <f>C73</f>
        <v>0</v>
      </c>
      <c r="D82" s="348">
        <f>D7/D43*'A. DESPESAS (Outras)'!D38</f>
        <v>0</v>
      </c>
      <c r="E82" s="348">
        <f>E7/D43*'A. DESPESAS (Outras)'!D38</f>
        <v>0</v>
      </c>
      <c r="F82" s="348">
        <f>F7/D43*'A. DESPESAS (Outras)'!D38</f>
        <v>0</v>
      </c>
      <c r="G82" s="348">
        <f>G7/D43*'A. DESPESAS (Outras)'!D38</f>
        <v>0</v>
      </c>
      <c r="H82" s="348">
        <f ca="1">H7/$D43*G43</f>
        <v>0</v>
      </c>
      <c r="I82" s="348">
        <f>I7/D43*'A. DESPESAS (Outras)'!D38</f>
        <v>0</v>
      </c>
      <c r="J82" s="348">
        <f>J7/$D43*'A. DESPESAS (Outras)'!D38</f>
        <v>0</v>
      </c>
      <c r="L82" s="391" t="e">
        <f>'res. custo cultivo e criação  '!$C$225/'resumo gastos CULTIVOS'!D43*'resumo gastos CULTIVOS'!D82</f>
        <v>#VALUE!</v>
      </c>
    </row>
    <row r="83" spans="2:12" x14ac:dyDescent="0.2">
      <c r="C83" s="346">
        <f>C74</f>
        <v>0</v>
      </c>
      <c r="D83" s="348">
        <f>D8/D44*'A. DESPESAS (Outras)'!D39</f>
        <v>0</v>
      </c>
      <c r="E83" s="348">
        <f>E8/D44*'A. DESPESAS (Outras)'!D39</f>
        <v>0</v>
      </c>
      <c r="F83" s="348">
        <f>F8/D44*'A. DESPESAS (Outras)'!D39</f>
        <v>0</v>
      </c>
      <c r="G83" s="348">
        <f>G8/D44*'A. DESPESAS (Outras)'!D39</f>
        <v>0</v>
      </c>
      <c r="H83" s="348">
        <f ca="1">H8/$D44*G44</f>
        <v>0</v>
      </c>
      <c r="I83" s="348">
        <f>I8/D44*'A. DESPESAS (Outras)'!D39</f>
        <v>0</v>
      </c>
      <c r="J83" s="348">
        <f>J8/$D44*'A. DESPESAS (Outras)'!D39</f>
        <v>0</v>
      </c>
      <c r="L83" s="391" t="e">
        <f>'res. custo cultivo e criação  '!$C$225/'resumo gastos CULTIVOS'!D44*'resumo gastos CULTIVOS'!D83</f>
        <v>#VALUE!</v>
      </c>
    </row>
    <row r="84" spans="2:12" x14ac:dyDescent="0.2">
      <c r="D84" s="389">
        <f t="shared" ref="D84:J84" si="9">SUM(SUMIF(D79:D83,"&gt;0",D79:D83))</f>
        <v>0</v>
      </c>
      <c r="E84" s="389">
        <f t="shared" si="9"/>
        <v>0</v>
      </c>
      <c r="F84" s="389">
        <f t="shared" si="9"/>
        <v>0</v>
      </c>
      <c r="G84" s="389">
        <f t="shared" si="9"/>
        <v>0</v>
      </c>
      <c r="H84" s="389">
        <f t="shared" ca="1" si="9"/>
        <v>0</v>
      </c>
      <c r="I84" s="389">
        <f t="shared" si="9"/>
        <v>0</v>
      </c>
      <c r="J84" s="389">
        <f t="shared" si="9"/>
        <v>0</v>
      </c>
      <c r="K84" s="389">
        <f>SUM(SUMIF(K79:K83,"&gt;0",K79:K83))</f>
        <v>0</v>
      </c>
      <c r="L84" s="389">
        <f>SUM(SUMIF(L79:L83,"&gt;0",L79:L83))</f>
        <v>0</v>
      </c>
    </row>
    <row r="85" spans="2:12" x14ac:dyDescent="0.2">
      <c r="D85" s="348"/>
      <c r="L85" s="391"/>
    </row>
    <row r="86" spans="2:12" x14ac:dyDescent="0.2">
      <c r="B86" s="346" t="s">
        <v>161</v>
      </c>
      <c r="D86" s="348"/>
      <c r="L86" s="391"/>
    </row>
    <row r="87" spans="2:12" x14ac:dyDescent="0.2">
      <c r="C87" s="346">
        <f>C79</f>
        <v>0</v>
      </c>
      <c r="D87" s="348">
        <f>D4/D40*'A. DESPESAS (Outras)'!D62</f>
        <v>0</v>
      </c>
      <c r="E87" s="348">
        <f>E4/D40*'A. DESPESAS (Outras)'!D62</f>
        <v>0</v>
      </c>
      <c r="F87" s="348">
        <f>F4/D40*'A. DESPESAS (Outras)'!D62</f>
        <v>0</v>
      </c>
      <c r="G87" s="348">
        <f>G4/$D40*'A. DESPESAS (Outras)'!D62</f>
        <v>0</v>
      </c>
      <c r="H87" s="348">
        <f ca="1">H4/$D40*'A. DESPESAS (Outras)'!D62</f>
        <v>0</v>
      </c>
      <c r="I87" s="348">
        <f>I4/$D40*'A. DESPESAS (Outras)'!D62</f>
        <v>0</v>
      </c>
      <c r="J87" s="348">
        <f>J4/$D40*'A. DESPESAS (Outras)'!D62</f>
        <v>0</v>
      </c>
      <c r="L87" s="391" t="e">
        <f>'res. custo cultivo e criação  '!$C$225/'resumo gastos CULTIVOS'!D40*'resumo gastos CULTIVOS'!D87</f>
        <v>#VALUE!</v>
      </c>
    </row>
    <row r="88" spans="2:12" x14ac:dyDescent="0.2">
      <c r="C88" s="346">
        <f>C80</f>
        <v>0</v>
      </c>
      <c r="D88" s="348">
        <f>D5/D41*'A. DESPESAS (Outras)'!D63</f>
        <v>0</v>
      </c>
      <c r="E88" s="348">
        <f>E5/D41*'A. DESPESAS (Outras)'!D63</f>
        <v>0</v>
      </c>
      <c r="F88" s="348">
        <f>F5/D41*'A. DESPESAS (Outras)'!D63</f>
        <v>0</v>
      </c>
      <c r="G88" s="348">
        <f>G5/D41*'A. DESPESAS (Outras)'!D63</f>
        <v>0</v>
      </c>
      <c r="H88" s="348">
        <f ca="1">H5/$D41*'A. DESPESAS (Outras)'!D63</f>
        <v>0</v>
      </c>
      <c r="I88" s="348">
        <f>I5/D41*'A. DESPESAS (Outras)'!D63</f>
        <v>0</v>
      </c>
      <c r="J88" s="348">
        <f>J5/$D41*'A. DESPESAS (Outras)'!D63</f>
        <v>0</v>
      </c>
      <c r="L88" s="391" t="e">
        <f>'res. custo cultivo e criação  '!$C$225/'resumo gastos CULTIVOS'!D41*'resumo gastos CULTIVOS'!D88</f>
        <v>#VALUE!</v>
      </c>
    </row>
    <row r="89" spans="2:12" x14ac:dyDescent="0.2">
      <c r="C89" s="346">
        <f>C81</f>
        <v>0</v>
      </c>
      <c r="D89" s="348">
        <f>D6/D42*'A. DESPESAS (Outras)'!D64</f>
        <v>0</v>
      </c>
      <c r="E89" s="348">
        <f>E6/D42*'A. DESPESAS (Outras)'!D64</f>
        <v>0</v>
      </c>
      <c r="F89" s="348">
        <f>F6/D42*'A. DESPESAS (Outras)'!D64</f>
        <v>0</v>
      </c>
      <c r="G89" s="348">
        <f>G6/D42*'A. DESPESAS (Outras)'!D64</f>
        <v>0</v>
      </c>
      <c r="H89" s="348">
        <f ca="1">H6/$D42*'A. DESPESAS (Outras)'!D64</f>
        <v>0</v>
      </c>
      <c r="I89" s="348">
        <f>I6/D42*'A. DESPESAS (Outras)'!D64</f>
        <v>0</v>
      </c>
      <c r="J89" s="348">
        <f>J6/$D42*'A. DESPESAS (Outras)'!D64</f>
        <v>0</v>
      </c>
      <c r="L89" s="391" t="e">
        <f>'res. custo cultivo e criação  '!$C$225/'resumo gastos CULTIVOS'!D42*'resumo gastos CULTIVOS'!D89</f>
        <v>#VALUE!</v>
      </c>
    </row>
    <row r="90" spans="2:12" x14ac:dyDescent="0.2">
      <c r="C90" s="346">
        <f>C82</f>
        <v>0</v>
      </c>
      <c r="D90" s="348">
        <f>D7/D43*'A. DESPESAS (Outras)'!D65</f>
        <v>0</v>
      </c>
      <c r="E90" s="348">
        <f>E7/D43*'A. DESPESAS (Outras)'!D65</f>
        <v>0</v>
      </c>
      <c r="F90" s="348">
        <f>F7/D43*'A. DESPESAS (Outras)'!D65</f>
        <v>0</v>
      </c>
      <c r="G90" s="348">
        <f>G7/D43*'A. DESPESAS (Outras)'!D65</f>
        <v>0</v>
      </c>
      <c r="H90" s="348">
        <f ca="1">H7/$D43*'A. DESPESAS (Outras)'!D65</f>
        <v>0</v>
      </c>
      <c r="I90" s="348">
        <f>I7/D43*'A. DESPESAS (Outras)'!D65</f>
        <v>0</v>
      </c>
      <c r="J90" s="348">
        <f>J7/$D43*'A. DESPESAS (Outras)'!D65</f>
        <v>0</v>
      </c>
      <c r="L90" s="391" t="e">
        <f>'res. custo cultivo e criação  '!$C$225/'resumo gastos CULTIVOS'!D43*'resumo gastos CULTIVOS'!D90</f>
        <v>#VALUE!</v>
      </c>
    </row>
    <row r="91" spans="2:12" x14ac:dyDescent="0.2">
      <c r="C91" s="346">
        <f>C83</f>
        <v>0</v>
      </c>
      <c r="D91" s="348">
        <f>D8/D44*'A. DESPESAS (Outras)'!D66</f>
        <v>0</v>
      </c>
      <c r="E91" s="348">
        <f>E8/D44*'A. DESPESAS (Outras)'!D66</f>
        <v>0</v>
      </c>
      <c r="F91" s="348">
        <f>F8/D44*'A. DESPESAS (Outras)'!D66</f>
        <v>0</v>
      </c>
      <c r="G91" s="348">
        <f>G8/D44*'A. DESPESAS (Outras)'!D66</f>
        <v>0</v>
      </c>
      <c r="H91" s="348">
        <f ca="1">H8/$D44*'A. DESPESAS (Outras)'!D66</f>
        <v>0</v>
      </c>
      <c r="I91" s="348">
        <f>I8/D44*'A. DESPESAS (Outras)'!D66</f>
        <v>0</v>
      </c>
      <c r="J91" s="348">
        <f>J8/$D44*'A. DESPESAS (Outras)'!D66</f>
        <v>0</v>
      </c>
      <c r="L91" s="391" t="e">
        <f>'res. custo cultivo e criação  '!$C$225/'resumo gastos CULTIVOS'!D44*'resumo gastos CULTIVOS'!D91</f>
        <v>#VALUE!</v>
      </c>
    </row>
    <row r="92" spans="2:12" x14ac:dyDescent="0.2">
      <c r="D92" s="389">
        <f t="shared" ref="D92:L92" si="10">SUM(SUMIF(D87:D91,"&gt;0",D87:D91))</f>
        <v>0</v>
      </c>
      <c r="E92" s="389">
        <f t="shared" si="10"/>
        <v>0</v>
      </c>
      <c r="F92" s="389">
        <f t="shared" si="10"/>
        <v>0</v>
      </c>
      <c r="G92" s="389">
        <f t="shared" si="10"/>
        <v>0</v>
      </c>
      <c r="H92" s="389">
        <f t="shared" ca="1" si="10"/>
        <v>0</v>
      </c>
      <c r="I92" s="389">
        <f t="shared" si="10"/>
        <v>0</v>
      </c>
      <c r="J92" s="389">
        <f t="shared" si="10"/>
        <v>0</v>
      </c>
      <c r="K92" s="381">
        <f ca="1">SUM(D92:J92)</f>
        <v>0</v>
      </c>
      <c r="L92" s="389">
        <f t="shared" si="10"/>
        <v>0</v>
      </c>
    </row>
    <row r="94" spans="2:12" x14ac:dyDescent="0.2">
      <c r="B94" s="392" t="s">
        <v>586</v>
      </c>
    </row>
    <row r="95" spans="2:12" x14ac:dyDescent="0.2">
      <c r="B95" s="392"/>
    </row>
    <row r="96" spans="2:12" x14ac:dyDescent="0.2">
      <c r="B96" s="392"/>
    </row>
    <row r="97" spans="2:11" x14ac:dyDescent="0.2">
      <c r="B97" s="392"/>
    </row>
    <row r="98" spans="2:11" x14ac:dyDescent="0.2">
      <c r="B98" s="392"/>
    </row>
    <row r="99" spans="2:11" x14ac:dyDescent="0.2">
      <c r="B99" s="392"/>
    </row>
    <row r="100" spans="2:11" x14ac:dyDescent="0.2">
      <c r="B100" s="392"/>
    </row>
    <row r="101" spans="2:11" x14ac:dyDescent="0.2">
      <c r="B101" s="392"/>
    </row>
    <row r="102" spans="2:11" x14ac:dyDescent="0.2">
      <c r="B102" s="392"/>
    </row>
    <row r="103" spans="2:11" x14ac:dyDescent="0.2">
      <c r="B103" s="392"/>
    </row>
    <row r="104" spans="2:11" x14ac:dyDescent="0.2">
      <c r="B104" s="392"/>
    </row>
    <row r="106" spans="2:11" x14ac:dyDescent="0.2">
      <c r="C106" s="391" t="s">
        <v>195</v>
      </c>
      <c r="D106" s="391"/>
    </row>
    <row r="107" spans="2:11" x14ac:dyDescent="0.2">
      <c r="C107" s="3246" t="s">
        <v>330</v>
      </c>
      <c r="D107" s="3246"/>
    </row>
    <row r="108" spans="2:11" x14ac:dyDescent="0.2">
      <c r="B108" s="392"/>
      <c r="C108" s="393" t="s">
        <v>61</v>
      </c>
      <c r="D108" s="394">
        <f>D13</f>
        <v>0</v>
      </c>
      <c r="E108" s="394">
        <f>E13</f>
        <v>0</v>
      </c>
      <c r="F108" s="394">
        <f>F13</f>
        <v>0</v>
      </c>
      <c r="G108" s="394">
        <f>G92+G84+G75+G67+G57</f>
        <v>0</v>
      </c>
      <c r="H108" s="394">
        <f ca="1">H92+H84+H75+H67+H57</f>
        <v>0</v>
      </c>
      <c r="I108" s="394">
        <f>I92+I84+I75+I67+I57</f>
        <v>281.25</v>
      </c>
    </row>
    <row r="109" spans="2:11" x14ac:dyDescent="0.2">
      <c r="C109" s="393" t="s">
        <v>329</v>
      </c>
      <c r="D109" s="394">
        <f t="shared" ref="D109:I109" si="11">D57+D67+D75+D84+D92</f>
        <v>0</v>
      </c>
      <c r="E109" s="394">
        <f t="shared" si="11"/>
        <v>0</v>
      </c>
      <c r="F109" s="394">
        <f t="shared" si="11"/>
        <v>0</v>
      </c>
      <c r="G109" s="394">
        <f t="shared" si="11"/>
        <v>0</v>
      </c>
      <c r="H109" s="394">
        <f t="shared" ca="1" si="11"/>
        <v>0</v>
      </c>
      <c r="I109" s="394">
        <f t="shared" si="11"/>
        <v>281.25</v>
      </c>
    </row>
    <row r="110" spans="2:11" x14ac:dyDescent="0.2">
      <c r="C110" s="392"/>
      <c r="D110" s="348"/>
      <c r="E110" s="349"/>
      <c r="F110" s="349"/>
      <c r="G110" s="349"/>
      <c r="I110" s="349"/>
      <c r="J110" s="381" t="s">
        <v>197</v>
      </c>
      <c r="K110" s="381">
        <f>G108+I108</f>
        <v>281.25</v>
      </c>
    </row>
    <row r="111" spans="2:11" x14ac:dyDescent="0.2">
      <c r="C111" s="395" t="s">
        <v>294</v>
      </c>
      <c r="D111" s="348">
        <f t="shared" ref="D111:I111" si="12">D24</f>
        <v>0</v>
      </c>
      <c r="E111" s="348">
        <f t="shared" si="12"/>
        <v>0</v>
      </c>
      <c r="F111" s="348">
        <f t="shared" si="12"/>
        <v>0</v>
      </c>
      <c r="G111" s="348">
        <f t="shared" si="12"/>
        <v>0</v>
      </c>
      <c r="H111" s="348">
        <f t="shared" ca="1" si="12"/>
        <v>0</v>
      </c>
      <c r="I111" s="349">
        <f t="shared" si="12"/>
        <v>0</v>
      </c>
      <c r="J111" s="381" t="s">
        <v>197</v>
      </c>
      <c r="K111" s="349">
        <f>'C. MÁQ.'!G48+'C. MÁQ.'!H48+'C. MÁQ.'!I48+'C. MÁQ.'!J48+'C. MÁQ.'!K48+'C. MÁQ.'!L48+'C. MÁQ.'!M48+'D. INSTAL.'!G45+'D. INSTAL.'!H45+'D. INSTAL.'!I45+'D. INSTAL.'!J45+'D. INSTAL.'!K45+'D. INSTAL.'!L45+'D. INSTAL.'!M45</f>
        <v>1462.5</v>
      </c>
    </row>
    <row r="112" spans="2:11" x14ac:dyDescent="0.2">
      <c r="C112" s="392"/>
      <c r="D112" s="348"/>
      <c r="E112" s="349"/>
      <c r="F112" s="349"/>
      <c r="G112" s="349"/>
      <c r="I112" s="349"/>
      <c r="J112" s="381"/>
      <c r="K112" s="381"/>
    </row>
    <row r="113" spans="3:13" x14ac:dyDescent="0.2">
      <c r="C113" s="396"/>
      <c r="D113" s="396"/>
      <c r="E113" s="396"/>
      <c r="F113" s="396"/>
      <c r="G113" s="396"/>
      <c r="H113" s="396"/>
      <c r="I113" s="396"/>
    </row>
    <row r="114" spans="3:13" x14ac:dyDescent="0.2">
      <c r="C114" s="397"/>
      <c r="D114" s="396">
        <f t="shared" ref="D114:I114" si="13">D109+D111</f>
        <v>0</v>
      </c>
      <c r="E114" s="396">
        <f t="shared" si="13"/>
        <v>0</v>
      </c>
      <c r="F114" s="396">
        <f t="shared" si="13"/>
        <v>0</v>
      </c>
      <c r="G114" s="396">
        <f t="shared" si="13"/>
        <v>0</v>
      </c>
      <c r="H114" s="396">
        <f t="shared" ca="1" si="13"/>
        <v>0</v>
      </c>
      <c r="I114" s="396">
        <f t="shared" si="13"/>
        <v>281.25</v>
      </c>
      <c r="J114" s="398">
        <f ca="1">SUM(D114:I114)</f>
        <v>281.25</v>
      </c>
    </row>
    <row r="115" spans="3:13" x14ac:dyDescent="0.2">
      <c r="C115" s="392"/>
      <c r="D115" s="396">
        <f>D30</f>
        <v>0</v>
      </c>
      <c r="E115" s="396">
        <f>E30</f>
        <v>0</v>
      </c>
      <c r="F115" s="396">
        <f>F30</f>
        <v>0</v>
      </c>
      <c r="G115" s="396">
        <f>G30</f>
        <v>0</v>
      </c>
      <c r="H115" s="396">
        <f ca="1">H30</f>
        <v>0</v>
      </c>
      <c r="I115" s="396"/>
    </row>
    <row r="116" spans="3:13" x14ac:dyDescent="0.2">
      <c r="C116" s="392"/>
      <c r="D116" s="396"/>
      <c r="E116" s="396"/>
      <c r="F116" s="396"/>
      <c r="G116" s="396"/>
      <c r="H116" s="396"/>
      <c r="I116" s="396"/>
    </row>
    <row r="117" spans="3:13" x14ac:dyDescent="0.2">
      <c r="C117" s="392"/>
      <c r="D117" s="396"/>
      <c r="E117" s="396"/>
      <c r="F117" s="396"/>
      <c r="G117" s="396"/>
      <c r="H117" s="396"/>
      <c r="I117" s="396"/>
    </row>
    <row r="118" spans="3:13" x14ac:dyDescent="0.2">
      <c r="C118" s="392"/>
      <c r="D118" s="399"/>
      <c r="E118" s="349"/>
      <c r="F118" s="349"/>
      <c r="G118" s="349"/>
      <c r="I118" s="349"/>
      <c r="J118" s="349"/>
      <c r="K118" s="349"/>
    </row>
    <row r="119" spans="3:13" x14ac:dyDescent="0.2">
      <c r="C119" s="392"/>
      <c r="E119" s="349"/>
      <c r="F119" s="349"/>
      <c r="G119" s="349"/>
      <c r="I119" s="349"/>
      <c r="J119" s="349"/>
      <c r="K119" s="349"/>
    </row>
    <row r="120" spans="3:13" x14ac:dyDescent="0.2">
      <c r="C120" s="392"/>
      <c r="E120" s="349"/>
      <c r="F120" s="349"/>
      <c r="G120" s="349"/>
      <c r="I120" s="349"/>
      <c r="J120" s="349"/>
      <c r="K120" s="349"/>
    </row>
    <row r="121" spans="3:13" x14ac:dyDescent="0.2">
      <c r="C121" s="392"/>
      <c r="E121" s="349"/>
      <c r="F121" s="349"/>
      <c r="G121" s="349"/>
      <c r="I121" s="349"/>
      <c r="J121" s="349"/>
      <c r="K121" s="349"/>
    </row>
    <row r="122" spans="3:13" x14ac:dyDescent="0.2">
      <c r="C122" s="392"/>
      <c r="D122" s="349"/>
      <c r="E122" s="349"/>
      <c r="F122" s="349"/>
      <c r="G122" s="349"/>
      <c r="I122" s="349"/>
    </row>
    <row r="123" spans="3:13" x14ac:dyDescent="0.2">
      <c r="C123" s="346" t="s">
        <v>585</v>
      </c>
      <c r="D123" s="400"/>
      <c r="E123" s="401"/>
      <c r="F123" s="401"/>
      <c r="G123" s="401"/>
      <c r="H123" s="402"/>
      <c r="I123" s="401"/>
      <c r="J123" s="401"/>
      <c r="K123" s="401"/>
      <c r="L123" s="401"/>
    </row>
    <row r="125" spans="3:13" x14ac:dyDescent="0.2">
      <c r="C125" s="392"/>
      <c r="D125" s="348"/>
      <c r="E125" s="348"/>
      <c r="G125" s="349"/>
      <c r="I125" s="349"/>
    </row>
    <row r="126" spans="3:13" x14ac:dyDescent="0.2">
      <c r="C126" s="392"/>
      <c r="D126" s="348"/>
      <c r="E126" s="348"/>
      <c r="G126" s="349"/>
    </row>
    <row r="127" spans="3:13" x14ac:dyDescent="0.2">
      <c r="G127" s="349"/>
    </row>
    <row r="128" spans="3:13" ht="15.75" x14ac:dyDescent="0.25">
      <c r="D128" s="403"/>
      <c r="E128" s="404"/>
      <c r="F128" s="404"/>
      <c r="G128" s="403"/>
      <c r="H128" s="405"/>
      <c r="I128" s="404"/>
      <c r="J128" s="406"/>
      <c r="K128" s="406"/>
      <c r="L128" s="406"/>
      <c r="M128" s="381"/>
    </row>
    <row r="129" spans="6:12" x14ac:dyDescent="0.2">
      <c r="I129" s="381"/>
      <c r="L129" s="381"/>
    </row>
    <row r="130" spans="6:12" x14ac:dyDescent="0.2">
      <c r="J130" s="381"/>
      <c r="L130" s="381"/>
    </row>
    <row r="131" spans="6:12" x14ac:dyDescent="0.2">
      <c r="F131" s="349"/>
      <c r="I131" s="349"/>
    </row>
    <row r="132" spans="6:12" x14ac:dyDescent="0.2">
      <c r="J132" s="381"/>
    </row>
  </sheetData>
  <mergeCells count="1">
    <mergeCell ref="C107:D107"/>
  </mergeCells>
  <phoneticPr fontId="50" type="noConversion"/>
  <pageMargins left="0.78740157499999996" right="0.78740157499999996" top="0.984251969" bottom="0.984251969" header="0.49212598499999999" footer="0.49212598499999999"/>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6"/>
  <dimension ref="B1:AG173"/>
  <sheetViews>
    <sheetView topLeftCell="A65" zoomScale="65" zoomScaleNormal="75" workbookViewId="0">
      <selection activeCell="D4" sqref="D4"/>
    </sheetView>
  </sheetViews>
  <sheetFormatPr defaultRowHeight="12.75" x14ac:dyDescent="0.2"/>
  <cols>
    <col min="2" max="2" width="12.5703125" customWidth="1"/>
    <col min="3" max="3" width="33.7109375" customWidth="1"/>
    <col min="4" max="4" width="19.85546875" customWidth="1"/>
    <col min="5" max="5" width="15.140625" customWidth="1"/>
    <col min="6" max="6" width="17.85546875" customWidth="1"/>
    <col min="7" max="7" width="17.42578125" customWidth="1"/>
    <col min="8" max="8" width="18.7109375" customWidth="1"/>
    <col min="9" max="9" width="13.28515625" customWidth="1"/>
    <col min="10" max="10" width="19.42578125" customWidth="1"/>
    <col min="11" max="11" width="11.85546875" customWidth="1"/>
    <col min="12" max="12" width="10.85546875" customWidth="1"/>
    <col min="14" max="14" width="18.28515625" customWidth="1"/>
    <col min="15" max="15" width="12.7109375" customWidth="1"/>
    <col min="22" max="33" width="8.85546875" style="30" customWidth="1"/>
  </cols>
  <sheetData>
    <row r="1" spans="2:22" x14ac:dyDescent="0.2">
      <c r="B1" s="30"/>
      <c r="C1" s="30"/>
      <c r="D1" s="30"/>
      <c r="E1" s="30"/>
      <c r="F1" s="30"/>
      <c r="G1" s="30"/>
      <c r="H1" s="30"/>
      <c r="I1" s="30"/>
    </row>
    <row r="2" spans="2:22" ht="15.75" x14ac:dyDescent="0.25">
      <c r="B2" s="1039" t="s">
        <v>648</v>
      </c>
      <c r="C2" s="1040"/>
      <c r="D2" s="1040"/>
      <c r="E2" s="1040"/>
      <c r="F2" s="1040"/>
      <c r="G2" s="1040"/>
      <c r="H2" s="1040"/>
      <c r="I2" s="1040"/>
      <c r="V2" s="188" t="s">
        <v>207</v>
      </c>
    </row>
    <row r="3" spans="2:22" ht="16.5" thickBot="1" x14ac:dyDescent="0.3">
      <c r="B3" s="1039"/>
      <c r="C3" s="1040"/>
      <c r="D3" s="1040"/>
      <c r="E3" s="1040"/>
      <c r="F3" s="1040"/>
      <c r="G3" s="1040"/>
      <c r="H3" s="1040"/>
      <c r="I3" s="1040"/>
      <c r="V3" s="188"/>
    </row>
    <row r="4" spans="2:22" ht="21" thickBot="1" x14ac:dyDescent="0.35">
      <c r="B4" s="1039"/>
      <c r="C4" s="1269" t="s">
        <v>650</v>
      </c>
      <c r="D4" s="1273">
        <f ca="1">(H89-I89)+F110</f>
        <v>11</v>
      </c>
      <c r="E4" s="1274" t="s">
        <v>649</v>
      </c>
      <c r="F4" s="1270"/>
      <c r="G4" s="1271"/>
      <c r="H4" s="1040"/>
      <c r="I4" s="1040"/>
      <c r="V4" s="188"/>
    </row>
    <row r="5" spans="2:22" ht="15.75" thickBot="1" x14ac:dyDescent="0.25">
      <c r="B5" s="1029"/>
      <c r="C5" s="107"/>
      <c r="D5" s="30"/>
      <c r="E5" s="30"/>
      <c r="F5" s="30"/>
      <c r="G5" s="30"/>
      <c r="H5" s="30"/>
      <c r="I5" s="30"/>
      <c r="V5" s="188"/>
    </row>
    <row r="6" spans="2:22" ht="13.5" thickBot="1" x14ac:dyDescent="0.25">
      <c r="B6" s="1038" t="str">
        <f>CADASTRO!C4</f>
        <v>Digitar o nome</v>
      </c>
      <c r="C6" s="992">
        <f>CADASTRO!C12</f>
        <v>44013</v>
      </c>
      <c r="D6" s="30"/>
      <c r="E6" s="30"/>
      <c r="F6" s="30"/>
      <c r="G6" s="30"/>
      <c r="H6" s="30"/>
      <c r="I6" s="30"/>
      <c r="V6" s="188" t="s">
        <v>207</v>
      </c>
    </row>
    <row r="7" spans="2:22" ht="13.5" thickBot="1" x14ac:dyDescent="0.25">
      <c r="B7" s="3252" t="s">
        <v>220</v>
      </c>
      <c r="C7" s="3253"/>
      <c r="D7" s="3253"/>
      <c r="E7" s="3253"/>
      <c r="F7" s="3253"/>
      <c r="G7" s="3253"/>
      <c r="H7" s="3253"/>
      <c r="I7" s="3254"/>
      <c r="J7" s="1025"/>
      <c r="K7" s="1025"/>
      <c r="L7" s="1025"/>
      <c r="M7" s="1025"/>
      <c r="N7" s="1025"/>
      <c r="O7" s="1025"/>
      <c r="P7" s="1026"/>
      <c r="V7" s="188" t="s">
        <v>207</v>
      </c>
    </row>
    <row r="8" spans="2:22" ht="13.5" thickBot="1" x14ac:dyDescent="0.25">
      <c r="B8" s="1061" t="s">
        <v>221</v>
      </c>
      <c r="C8" s="1062" t="s">
        <v>68</v>
      </c>
      <c r="D8" s="3262" t="s">
        <v>600</v>
      </c>
      <c r="E8" s="3262"/>
      <c r="F8" s="3262"/>
      <c r="G8" s="3262"/>
      <c r="H8" s="3262"/>
      <c r="I8" s="3263"/>
      <c r="J8" s="1058"/>
      <c r="K8" s="190"/>
      <c r="L8" s="190"/>
      <c r="M8" s="190"/>
      <c r="N8" s="190"/>
      <c r="O8" s="190"/>
      <c r="P8" s="191"/>
      <c r="V8" s="188" t="s">
        <v>207</v>
      </c>
    </row>
    <row r="9" spans="2:22" ht="42.6" customHeight="1" x14ac:dyDescent="0.2">
      <c r="B9" s="1059" t="str">
        <f>B17</f>
        <v/>
      </c>
      <c r="C9" s="1060" t="str">
        <f>L17</f>
        <v>CERTO</v>
      </c>
      <c r="D9" s="3264" t="str">
        <f>IF(C9="erro",Q9,"-")</f>
        <v>-</v>
      </c>
      <c r="E9" s="3265"/>
      <c r="F9" s="3265"/>
      <c r="G9" s="3265"/>
      <c r="H9" s="3265"/>
      <c r="I9" s="3266"/>
      <c r="J9" s="195"/>
      <c r="K9" s="110"/>
      <c r="L9" s="110"/>
      <c r="M9" s="110"/>
      <c r="N9" s="110"/>
      <c r="O9" s="110"/>
      <c r="P9" s="192"/>
      <c r="Q9" s="189" t="s">
        <v>748</v>
      </c>
      <c r="V9" s="188" t="s">
        <v>207</v>
      </c>
    </row>
    <row r="10" spans="2:22" ht="39" customHeight="1" x14ac:dyDescent="0.2">
      <c r="B10" s="613" t="str">
        <f>B18</f>
        <v/>
      </c>
      <c r="C10" s="614" t="str">
        <f>L18</f>
        <v>CERTO</v>
      </c>
      <c r="D10" s="3272" t="str">
        <f>IF(C10="erro",Q10,"-")</f>
        <v>-</v>
      </c>
      <c r="E10" s="3273"/>
      <c r="F10" s="3273"/>
      <c r="G10" s="3273"/>
      <c r="H10" s="3273"/>
      <c r="I10" s="3274"/>
      <c r="J10" s="195"/>
      <c r="K10" s="110"/>
      <c r="L10" s="110"/>
      <c r="M10" s="110"/>
      <c r="N10" s="110"/>
      <c r="O10" s="110"/>
      <c r="P10" s="192"/>
      <c r="Q10" s="189" t="s">
        <v>748</v>
      </c>
      <c r="V10" s="188" t="s">
        <v>207</v>
      </c>
    </row>
    <row r="11" spans="2:22" ht="39" customHeight="1" x14ac:dyDescent="0.2">
      <c r="B11" s="613" t="str">
        <f>B19</f>
        <v/>
      </c>
      <c r="C11" s="614" t="str">
        <f>L19</f>
        <v>CERTO</v>
      </c>
      <c r="D11" s="3272" t="str">
        <f>IF(C11="erro",Q11,"-")</f>
        <v>-</v>
      </c>
      <c r="E11" s="3273"/>
      <c r="F11" s="3273"/>
      <c r="G11" s="3273"/>
      <c r="H11" s="3273"/>
      <c r="I11" s="3274"/>
      <c r="J11" s="195"/>
      <c r="K11" s="110"/>
      <c r="L11" s="110"/>
      <c r="M11" s="110"/>
      <c r="N11" s="110"/>
      <c r="O11" s="110"/>
      <c r="P11" s="192"/>
      <c r="Q11" s="189" t="s">
        <v>748</v>
      </c>
      <c r="V11" s="188" t="s">
        <v>207</v>
      </c>
    </row>
    <row r="12" spans="2:22" ht="32.450000000000003" customHeight="1" x14ac:dyDescent="0.2">
      <c r="B12" s="613" t="str">
        <f>B20</f>
        <v/>
      </c>
      <c r="C12" s="614" t="str">
        <f>L20</f>
        <v>CERTO</v>
      </c>
      <c r="D12" s="3272" t="str">
        <f>IF(C12="erro",Q12,"-")</f>
        <v>-</v>
      </c>
      <c r="E12" s="3273"/>
      <c r="F12" s="3273"/>
      <c r="G12" s="3273"/>
      <c r="H12" s="3273"/>
      <c r="I12" s="3274"/>
      <c r="J12" s="195"/>
      <c r="K12" s="110"/>
      <c r="L12" s="110"/>
      <c r="M12" s="110"/>
      <c r="N12" s="110"/>
      <c r="O12" s="110"/>
      <c r="P12" s="192"/>
      <c r="Q12" s="189" t="s">
        <v>748</v>
      </c>
      <c r="V12" s="188" t="s">
        <v>207</v>
      </c>
    </row>
    <row r="13" spans="2:22" ht="41.45" customHeight="1" x14ac:dyDescent="0.2">
      <c r="B13" s="613" t="str">
        <f>B21</f>
        <v/>
      </c>
      <c r="C13" s="614" t="str">
        <f>L21</f>
        <v>CERTO</v>
      </c>
      <c r="D13" s="3272" t="str">
        <f>IF(C13="erro",Q13,"-")</f>
        <v>-</v>
      </c>
      <c r="E13" s="3273"/>
      <c r="F13" s="3273"/>
      <c r="G13" s="3273"/>
      <c r="H13" s="3273"/>
      <c r="I13" s="3274"/>
      <c r="J13" s="195"/>
      <c r="K13" s="110"/>
      <c r="L13" s="110"/>
      <c r="M13" s="110"/>
      <c r="N13" s="110"/>
      <c r="O13" s="110"/>
      <c r="P13" s="192"/>
      <c r="Q13" s="189" t="s">
        <v>748</v>
      </c>
      <c r="V13" s="188" t="s">
        <v>207</v>
      </c>
    </row>
    <row r="14" spans="2:22" ht="49.9" customHeight="1" thickBot="1" x14ac:dyDescent="0.25">
      <c r="B14" s="617" t="s">
        <v>594</v>
      </c>
      <c r="C14" s="1031" t="str">
        <f>P22</f>
        <v>CERTO</v>
      </c>
      <c r="D14" s="3267" t="str">
        <f>IF(C14="erro",Q22,"-")</f>
        <v>-</v>
      </c>
      <c r="E14" s="3268"/>
      <c r="F14" s="3268"/>
      <c r="G14" s="3268"/>
      <c r="H14" s="3268"/>
      <c r="I14" s="3269"/>
      <c r="J14" s="1033"/>
      <c r="K14" s="197"/>
      <c r="L14" s="197"/>
      <c r="M14" s="197"/>
      <c r="N14" s="197"/>
      <c r="O14" s="197"/>
      <c r="P14" s="1032"/>
      <c r="V14" s="188" t="s">
        <v>207</v>
      </c>
    </row>
    <row r="15" spans="2:22" hidden="1" x14ac:dyDescent="0.2">
      <c r="B15" s="30"/>
      <c r="C15" s="30"/>
      <c r="D15" s="30"/>
      <c r="E15" s="30"/>
      <c r="F15" s="30"/>
      <c r="G15" s="30"/>
      <c r="H15" s="30"/>
      <c r="I15" s="30"/>
      <c r="J15" s="30"/>
      <c r="K15" s="30"/>
      <c r="L15" s="30"/>
      <c r="M15" s="30"/>
      <c r="N15" s="30"/>
      <c r="O15" s="30"/>
      <c r="P15" s="30"/>
      <c r="Q15" s="30"/>
      <c r="R15" s="30"/>
      <c r="S15" s="30"/>
      <c r="T15" s="30"/>
      <c r="U15" s="30"/>
      <c r="V15" s="188" t="s">
        <v>207</v>
      </c>
    </row>
    <row r="16" spans="2:22" ht="38.25" hidden="1" x14ac:dyDescent="0.2">
      <c r="B16" s="1034"/>
      <c r="C16" s="1035" t="s">
        <v>217</v>
      </c>
      <c r="D16" s="190" t="str">
        <f>'C. MÁQ.'!C28</f>
        <v>LEITE</v>
      </c>
      <c r="E16" s="190">
        <f>'C. MÁQ.'!D28</f>
        <v>0</v>
      </c>
      <c r="F16" s="190">
        <f>'C. MÁQ.'!E28</f>
        <v>0</v>
      </c>
      <c r="G16" s="190">
        <f>'C. MÁQ.'!F28</f>
        <v>0</v>
      </c>
      <c r="H16" s="1036" t="str">
        <f>PRODUÇÃO!I7</f>
        <v>Consumo próprio previsto ou realizado (kg)</v>
      </c>
      <c r="I16" s="190" t="s">
        <v>218</v>
      </c>
      <c r="J16" s="190" t="s">
        <v>219</v>
      </c>
      <c r="K16" s="190" t="s">
        <v>593</v>
      </c>
      <c r="L16" s="1037" t="s">
        <v>68</v>
      </c>
      <c r="M16" s="1030"/>
      <c r="N16" s="190" t="s">
        <v>402</v>
      </c>
      <c r="O16" s="190"/>
      <c r="P16" s="191"/>
      <c r="V16" s="188" t="s">
        <v>207</v>
      </c>
    </row>
    <row r="17" spans="2:22" hidden="1" x14ac:dyDescent="0.2">
      <c r="B17" s="615" t="str">
        <f>'A. DESPESAS (Outras)'!B35</f>
        <v/>
      </c>
      <c r="C17" s="616">
        <f>PRODUÇÃO!H9</f>
        <v>0</v>
      </c>
      <c r="D17" s="110">
        <f>'DESPESAS (Gado)'!E7</f>
        <v>0</v>
      </c>
      <c r="E17" s="110">
        <f>'A. DESPESAS (Outras)'!D6</f>
        <v>0</v>
      </c>
      <c r="F17" s="110">
        <f>'A. DESPESAS (Outras)'!D35</f>
        <v>0</v>
      </c>
      <c r="G17" s="110">
        <f>'A. DESPESAS (Outras)'!D62</f>
        <v>0</v>
      </c>
      <c r="H17" s="1022">
        <f>PRODUÇÃO!I9</f>
        <v>0</v>
      </c>
      <c r="I17" s="110">
        <f>SUM(C17:H17)</f>
        <v>0</v>
      </c>
      <c r="J17" s="110">
        <f>PRODUÇÃO!L9</f>
        <v>0</v>
      </c>
      <c r="K17" s="204">
        <f>J17-I17</f>
        <v>0</v>
      </c>
      <c r="L17" s="199" t="str">
        <f>IF(K17=0,"CERTO","ERRO")</f>
        <v>CERTO</v>
      </c>
      <c r="M17" s="195"/>
      <c r="N17" s="110" t="str">
        <f>B9</f>
        <v/>
      </c>
      <c r="O17" s="110">
        <f>'DESPESAS (Agr.)'!F42</f>
        <v>0</v>
      </c>
      <c r="P17" s="192"/>
      <c r="V17" s="188" t="s">
        <v>207</v>
      </c>
    </row>
    <row r="18" spans="2:22" hidden="1" x14ac:dyDescent="0.2">
      <c r="B18" s="615" t="str">
        <f>'A. DESPESAS (Outras)'!B36</f>
        <v/>
      </c>
      <c r="C18" s="616">
        <f>PRODUÇÃO!H10</f>
        <v>0</v>
      </c>
      <c r="D18" s="110">
        <f>'DESPESAS (Gado)'!E8</f>
        <v>0</v>
      </c>
      <c r="E18" s="110">
        <f>'A. DESPESAS (Outras)'!D7</f>
        <v>0</v>
      </c>
      <c r="F18" s="110">
        <f>'A. DESPESAS (Outras)'!D36</f>
        <v>0</v>
      </c>
      <c r="G18" s="110">
        <f>'A. DESPESAS (Outras)'!D63</f>
        <v>0</v>
      </c>
      <c r="H18" s="1022">
        <f>PRODUÇÃO!I10</f>
        <v>0</v>
      </c>
      <c r="I18" s="110">
        <f>SUM(C18:H18)</f>
        <v>0</v>
      </c>
      <c r="J18" s="110">
        <f>PRODUÇÃO!L10</f>
        <v>0</v>
      </c>
      <c r="K18" s="204">
        <f>J18-I18</f>
        <v>0</v>
      </c>
      <c r="L18" s="199" t="str">
        <f>IF(K18=0,"CERTO","ERRO")</f>
        <v>CERTO</v>
      </c>
      <c r="M18" s="195"/>
      <c r="N18" s="110" t="str">
        <f>B10</f>
        <v/>
      </c>
      <c r="O18" s="110">
        <f>'DESPESAS (Agr.)'!F66</f>
        <v>0</v>
      </c>
      <c r="P18" s="192"/>
      <c r="V18" s="188" t="s">
        <v>207</v>
      </c>
    </row>
    <row r="19" spans="2:22" hidden="1" x14ac:dyDescent="0.2">
      <c r="B19" s="615" t="str">
        <f>'A. DESPESAS (Outras)'!B37</f>
        <v/>
      </c>
      <c r="C19" s="616">
        <f>PRODUÇÃO!H11</f>
        <v>0</v>
      </c>
      <c r="D19" s="110">
        <f>'DESPESAS (Gado)'!E9</f>
        <v>0</v>
      </c>
      <c r="E19" s="110">
        <f>'A. DESPESAS (Outras)'!D8</f>
        <v>0</v>
      </c>
      <c r="F19" s="110">
        <f>'A. DESPESAS (Outras)'!D37</f>
        <v>0</v>
      </c>
      <c r="G19" s="110">
        <f>'A. DESPESAS (Outras)'!D64</f>
        <v>0</v>
      </c>
      <c r="H19" s="1022">
        <f>PRODUÇÃO!I11</f>
        <v>0</v>
      </c>
      <c r="I19" s="110">
        <f>SUM(C19:H19)</f>
        <v>0</v>
      </c>
      <c r="J19" s="110">
        <f>PRODUÇÃO!L11</f>
        <v>0</v>
      </c>
      <c r="K19" s="204">
        <f>J19-I19</f>
        <v>0</v>
      </c>
      <c r="L19" s="199" t="str">
        <f>IF(K19=0,"CERTO","ERRO")</f>
        <v>CERTO</v>
      </c>
      <c r="M19" s="195"/>
      <c r="N19" s="110" t="str">
        <f>B11</f>
        <v/>
      </c>
      <c r="O19" s="110">
        <f>'DESPESAS (Agr.)'!F90</f>
        <v>0</v>
      </c>
      <c r="P19" s="192"/>
      <c r="V19" s="188" t="s">
        <v>207</v>
      </c>
    </row>
    <row r="20" spans="2:22" hidden="1" x14ac:dyDescent="0.2">
      <c r="B20" s="615" t="str">
        <f>'A. DESPESAS (Outras)'!B38</f>
        <v/>
      </c>
      <c r="C20" s="616">
        <f>PRODUÇÃO!H12</f>
        <v>0</v>
      </c>
      <c r="D20" s="110">
        <f>'DESPESAS (Gado)'!E10</f>
        <v>0</v>
      </c>
      <c r="E20" s="110">
        <f>'A. DESPESAS (Outras)'!D9</f>
        <v>0</v>
      </c>
      <c r="F20" s="110">
        <f>'A. DESPESAS (Outras)'!D38</f>
        <v>0</v>
      </c>
      <c r="G20" s="110">
        <f>'A. DESPESAS (Outras)'!D65</f>
        <v>0</v>
      </c>
      <c r="H20" s="1022">
        <f>PRODUÇÃO!I12</f>
        <v>0</v>
      </c>
      <c r="I20" s="110">
        <f>SUM(C20:H20)</f>
        <v>0</v>
      </c>
      <c r="J20" s="110">
        <f>PRODUÇÃO!L12</f>
        <v>0</v>
      </c>
      <c r="K20" s="204">
        <f>J20-I20</f>
        <v>0</v>
      </c>
      <c r="L20" s="199" t="str">
        <f>IF(K20=0,"CERTO","ERRO")</f>
        <v>CERTO</v>
      </c>
      <c r="M20" s="195"/>
      <c r="N20" s="1024" t="s">
        <v>595</v>
      </c>
      <c r="O20" s="110">
        <f>'DESPESAS (Agr.)'!F114+'DESPESAS (Agr.)'!F138+'DESPESAS (Agr.)'!F161+'DESPESAS (Agr.)'!F184+'DESPESAS (Agr.)'!F208+'DESPESAS (Agr.)'!F274+'DESPESAS (Agr.)'!F295+'DESPESAS (Agr.)'!F318+'DESPESAS (Agr.)'!F339+'DESPESAS (Agr.)'!F364</f>
        <v>0</v>
      </c>
      <c r="P20" s="192"/>
      <c r="V20" s="188" t="s">
        <v>207</v>
      </c>
    </row>
    <row r="21" spans="2:22" hidden="1" x14ac:dyDescent="0.2">
      <c r="B21" s="615" t="str">
        <f>'A. DESPESAS (Outras)'!B39</f>
        <v/>
      </c>
      <c r="C21" s="616">
        <f>PRODUÇÃO!H13</f>
        <v>0</v>
      </c>
      <c r="D21" s="110">
        <f>'DESPESAS (Gado)'!E11</f>
        <v>0</v>
      </c>
      <c r="E21" s="110">
        <f>'A. DESPESAS (Outras)'!D10</f>
        <v>0</v>
      </c>
      <c r="F21" s="110">
        <f>'A. DESPESAS (Outras)'!D39</f>
        <v>0</v>
      </c>
      <c r="G21" s="110">
        <f>'A. DESPESAS (Outras)'!D66</f>
        <v>0</v>
      </c>
      <c r="H21" s="1022">
        <f>PRODUÇÃO!I13</f>
        <v>0</v>
      </c>
      <c r="I21" s="110">
        <f>SUM(C21:H21)</f>
        <v>0</v>
      </c>
      <c r="J21" s="110">
        <f>PRODUÇÃO!L13</f>
        <v>0</v>
      </c>
      <c r="K21" s="204">
        <f>J21-I21</f>
        <v>0</v>
      </c>
      <c r="L21" s="199" t="str">
        <f>IF(K21=0,"CERTO","ERRO")</f>
        <v>CERTO</v>
      </c>
      <c r="M21" s="195"/>
      <c r="N21" s="110"/>
      <c r="O21" s="110"/>
      <c r="P21" s="192"/>
      <c r="V21" s="188" t="s">
        <v>207</v>
      </c>
    </row>
    <row r="22" spans="2:22" ht="13.5" hidden="1" thickBot="1" x14ac:dyDescent="0.25">
      <c r="B22" s="617"/>
      <c r="C22" s="618"/>
      <c r="D22" s="193"/>
      <c r="E22" s="193"/>
      <c r="F22" s="193"/>
      <c r="G22" s="193"/>
      <c r="H22" s="1023">
        <f>SUM(H17:H21)</f>
        <v>0</v>
      </c>
      <c r="I22" s="193"/>
      <c r="J22" s="193"/>
      <c r="K22" s="193"/>
      <c r="L22" s="198"/>
      <c r="M22" s="196"/>
      <c r="N22" s="193"/>
      <c r="O22" s="193">
        <f>SUM(O17:O21)</f>
        <v>0</v>
      </c>
      <c r="P22" s="194" t="str">
        <f>IF(H22=O22,"CERTO","ERRO")</f>
        <v>CERTO</v>
      </c>
      <c r="Q22" t="s">
        <v>597</v>
      </c>
      <c r="V22" s="188" t="s">
        <v>207</v>
      </c>
    </row>
    <row r="23" spans="2:22" hidden="1" x14ac:dyDescent="0.2">
      <c r="B23" s="22"/>
      <c r="C23" s="22"/>
      <c r="D23" s="22"/>
      <c r="E23" s="22"/>
      <c r="F23" s="22"/>
      <c r="G23" s="22"/>
      <c r="H23" s="22"/>
      <c r="I23" s="22"/>
      <c r="V23" s="188" t="s">
        <v>207</v>
      </c>
    </row>
    <row r="24" spans="2:22" hidden="1" x14ac:dyDescent="0.2">
      <c r="B24" s="22"/>
      <c r="C24" s="22"/>
      <c r="D24" s="22"/>
      <c r="E24" s="22"/>
      <c r="F24" s="22"/>
      <c r="G24" s="22"/>
      <c r="H24" s="22"/>
      <c r="I24" s="22"/>
      <c r="V24" s="188" t="s">
        <v>207</v>
      </c>
    </row>
    <row r="25" spans="2:22" hidden="1" x14ac:dyDescent="0.2">
      <c r="B25" s="22"/>
      <c r="C25" s="22"/>
      <c r="D25" s="22"/>
      <c r="E25" s="22"/>
      <c r="F25" s="22"/>
      <c r="G25" s="22"/>
      <c r="H25" s="22"/>
      <c r="I25" s="22"/>
      <c r="V25" s="188" t="s">
        <v>207</v>
      </c>
    </row>
    <row r="26" spans="2:22" hidden="1" x14ac:dyDescent="0.2">
      <c r="B26" s="22"/>
      <c r="C26" s="22"/>
      <c r="D26" s="22"/>
      <c r="E26" s="22"/>
      <c r="F26" s="22"/>
      <c r="G26" s="22"/>
      <c r="H26" s="22"/>
      <c r="I26" s="22"/>
      <c r="V26" s="188" t="s">
        <v>207</v>
      </c>
    </row>
    <row r="27" spans="2:22" ht="13.5" hidden="1" thickBot="1" x14ac:dyDescent="0.25">
      <c r="B27" s="22"/>
      <c r="C27" s="22"/>
      <c r="D27" s="22"/>
      <c r="E27" s="22"/>
      <c r="F27" s="22"/>
      <c r="G27" s="22"/>
      <c r="H27" s="22"/>
      <c r="I27" s="22"/>
      <c r="V27" s="188" t="s">
        <v>207</v>
      </c>
    </row>
    <row r="28" spans="2:22" ht="13.5" hidden="1" thickBot="1" x14ac:dyDescent="0.25">
      <c r="B28" s="22"/>
      <c r="C28" s="22"/>
      <c r="D28" s="22"/>
      <c r="E28" s="22"/>
      <c r="F28" s="22"/>
      <c r="G28" s="22"/>
      <c r="H28" s="22">
        <f>COUNTA(C9:C14)</f>
        <v>6</v>
      </c>
      <c r="I28" s="992">
        <f>COUNTIF(C9:C14,"CERTO")</f>
        <v>6</v>
      </c>
      <c r="V28" s="188" t="s">
        <v>207</v>
      </c>
    </row>
    <row r="29" spans="2:22" ht="13.5" thickBot="1" x14ac:dyDescent="0.25">
      <c r="B29" s="3270" t="str">
        <f>'F. resultad econ. glob. detalh'!B297</f>
        <v>depreciação</v>
      </c>
      <c r="C29" s="3271"/>
      <c r="D29" s="1045" t="s">
        <v>68</v>
      </c>
      <c r="E29" s="3261" t="s">
        <v>600</v>
      </c>
      <c r="F29" s="3262"/>
      <c r="G29" s="3262"/>
      <c r="H29" s="3262"/>
      <c r="I29" s="3263"/>
      <c r="V29" s="188" t="s">
        <v>207</v>
      </c>
    </row>
    <row r="30" spans="2:22" ht="50.45" customHeight="1" thickBot="1" x14ac:dyDescent="0.3">
      <c r="B30" s="3258" t="s">
        <v>598</v>
      </c>
      <c r="C30" s="1046">
        <f>'F. resultad econ. glob. detalh'!C297</f>
        <v>5805</v>
      </c>
      <c r="D30" s="1044" t="str">
        <f>IF(C30=C31,"CERTO","ERRO")</f>
        <v>ERRO</v>
      </c>
      <c r="E30" s="3255" t="str">
        <f>IF(D30="erro",$C$155,"-")</f>
        <v>verifique os percentuais de rateio nas planilhas maquinas e equipamentos e instalação e investimentos: fechou os percentuais em 100% ? Não pode haver percentuiais de rateio onde não há atividade !!!</v>
      </c>
      <c r="F30" s="3256"/>
      <c r="G30" s="3256"/>
      <c r="H30" s="3256"/>
      <c r="I30" s="3257"/>
      <c r="V30" s="188" t="s">
        <v>207</v>
      </c>
    </row>
    <row r="31" spans="2:22" ht="60" customHeight="1" thickBot="1" x14ac:dyDescent="0.3">
      <c r="B31" s="3259"/>
      <c r="C31" s="1046">
        <f>'F. resultad econ. glob. detalh'!C298</f>
        <v>4623.75</v>
      </c>
      <c r="D31" s="1041" t="str">
        <f>IF(C31=C32,"CERTO","ERRO")</f>
        <v>ERRO</v>
      </c>
      <c r="E31" s="3255" t="str">
        <f>IF(D31="erro",$C$155,"-")</f>
        <v>verifique os percentuais de rateio nas planilhas maquinas e equipamentos e instalação e investimentos: fechou os percentuais em 100% ? Não pode haver percentuiais de rateio onde não há atividade !!!</v>
      </c>
      <c r="F31" s="3256"/>
      <c r="G31" s="3256"/>
      <c r="H31" s="3256"/>
      <c r="I31" s="3257"/>
      <c r="V31" s="188" t="s">
        <v>207</v>
      </c>
    </row>
    <row r="32" spans="2:22" ht="61.15" customHeight="1" thickBot="1" x14ac:dyDescent="0.3">
      <c r="B32" s="3260"/>
      <c r="C32" s="1047">
        <f>'F. resultad econ. glob. detalh'!C299</f>
        <v>5805</v>
      </c>
      <c r="D32" s="1043" t="str">
        <f>IF(C32=C30,"CERTO","ERRO")</f>
        <v>CERTO</v>
      </c>
      <c r="E32" s="3255" t="str">
        <f>IF(D32="erro",$C$155,"-")</f>
        <v>-</v>
      </c>
      <c r="F32" s="3256"/>
      <c r="G32" s="3256"/>
      <c r="H32" s="3256"/>
      <c r="I32" s="3257"/>
      <c r="V32" s="188" t="s">
        <v>207</v>
      </c>
    </row>
    <row r="33" spans="2:33" s="22" customFormat="1" ht="45.6" customHeight="1" thickBot="1" x14ac:dyDescent="0.25">
      <c r="B33" s="1050"/>
      <c r="C33" s="1048"/>
      <c r="D33" s="1051"/>
      <c r="E33" s="1049"/>
      <c r="F33" s="1049"/>
      <c r="G33" s="1049"/>
      <c r="H33" s="1049">
        <f>COUNTA(D30:D32)</f>
        <v>3</v>
      </c>
      <c r="I33" s="1272">
        <f>COUNTIF(D30:D32,"CERTO")</f>
        <v>1</v>
      </c>
      <c r="J33" s="30"/>
      <c r="K33" s="30"/>
      <c r="L33" s="30"/>
      <c r="M33" s="30"/>
      <c r="N33" s="30"/>
      <c r="O33" s="30"/>
      <c r="P33" s="30"/>
      <c r="Q33" s="30"/>
      <c r="R33" s="30"/>
      <c r="S33" s="30"/>
      <c r="T33" s="30"/>
      <c r="U33" s="30"/>
      <c r="V33" s="188"/>
      <c r="W33" s="30"/>
      <c r="X33" s="30"/>
      <c r="Y33" s="30"/>
      <c r="Z33" s="30"/>
      <c r="AA33" s="30"/>
      <c r="AB33" s="30"/>
      <c r="AC33" s="30"/>
      <c r="AD33" s="30"/>
      <c r="AE33" s="30"/>
      <c r="AF33" s="30"/>
      <c r="AG33" s="30"/>
    </row>
    <row r="34" spans="2:33" ht="37.15" customHeight="1" thickBot="1" x14ac:dyDescent="0.25">
      <c r="B34" s="3275" t="s">
        <v>599</v>
      </c>
      <c r="C34" s="3276"/>
      <c r="D34" s="1045" t="s">
        <v>68</v>
      </c>
      <c r="E34" s="30"/>
      <c r="F34" s="30"/>
      <c r="G34" s="30"/>
      <c r="H34" s="30"/>
      <c r="I34" s="30"/>
      <c r="V34" s="188" t="s">
        <v>207</v>
      </c>
    </row>
    <row r="35" spans="2:33" ht="30.6" customHeight="1" x14ac:dyDescent="0.2">
      <c r="B35" s="3258" t="s">
        <v>598</v>
      </c>
      <c r="C35" s="1027" t="e">
        <f>'F. resultad econ. glob. detalh'!C301</f>
        <v>#VALUE!</v>
      </c>
      <c r="D35" s="1053" t="e">
        <f>IF(C35=C36,"CERTO","ERRADO")</f>
        <v>#VALUE!</v>
      </c>
      <c r="E35" s="30" t="e">
        <f>IF(D35="erro",$C$173,"-")</f>
        <v>#VALUE!</v>
      </c>
      <c r="F35" s="30"/>
      <c r="G35" s="30"/>
      <c r="H35" s="30"/>
      <c r="I35" s="30"/>
      <c r="V35" s="188" t="s">
        <v>207</v>
      </c>
    </row>
    <row r="36" spans="2:33" x14ac:dyDescent="0.2">
      <c r="B36" s="3259"/>
      <c r="C36" s="1027" t="e">
        <f>'F. resultad econ. glob. detalh'!C302</f>
        <v>#VALUE!</v>
      </c>
      <c r="D36" s="1053" t="e">
        <f>IF(C36=C37,"CERTO","ERRADO")</f>
        <v>#VALUE!</v>
      </c>
      <c r="E36" s="30" t="e">
        <f>IF(D36="erro",$C$173,"-")</f>
        <v>#VALUE!</v>
      </c>
      <c r="F36" s="30"/>
      <c r="G36" s="30"/>
      <c r="H36" s="30"/>
      <c r="I36" s="30"/>
      <c r="V36" s="188" t="s">
        <v>207</v>
      </c>
    </row>
    <row r="37" spans="2:33" ht="40.9" customHeight="1" thickBot="1" x14ac:dyDescent="0.25">
      <c r="B37" s="3260"/>
      <c r="C37" s="1042">
        <f>'F. resultad econ. glob. detalh'!C303</f>
        <v>15200</v>
      </c>
      <c r="D37" s="1053" t="e">
        <f>IF(C35=C37,"CERTO","ERRADO")</f>
        <v>#VALUE!</v>
      </c>
      <c r="E37" s="30" t="e">
        <f>IF(D37="erro",$C$173,"-")</f>
        <v>#VALUE!</v>
      </c>
      <c r="F37" s="30"/>
      <c r="G37" s="30"/>
      <c r="H37" s="30"/>
      <c r="I37" s="30"/>
      <c r="V37" s="188" t="s">
        <v>207</v>
      </c>
    </row>
    <row r="38" spans="2:33" ht="40.9" customHeight="1" thickBot="1" x14ac:dyDescent="0.25">
      <c r="B38" s="1050"/>
      <c r="C38" s="1052"/>
      <c r="D38" s="1051"/>
      <c r="E38" s="30"/>
      <c r="F38" s="30"/>
      <c r="G38" s="30"/>
      <c r="H38" s="30">
        <f>COUNTA(D35:D37)</f>
        <v>3</v>
      </c>
      <c r="I38" s="992">
        <f>COUNTIF(D35:D37,"CERTO")</f>
        <v>0</v>
      </c>
      <c r="J38" s="30"/>
      <c r="K38" s="30"/>
      <c r="L38" s="30"/>
      <c r="M38" s="30"/>
      <c r="N38" s="30"/>
      <c r="O38" s="30"/>
      <c r="P38" s="30"/>
      <c r="Q38" s="30"/>
      <c r="R38" s="30"/>
      <c r="S38" s="30"/>
      <c r="T38" s="30"/>
      <c r="U38" s="30"/>
      <c r="V38" s="188"/>
    </row>
    <row r="39" spans="2:33" ht="13.5" thickBot="1" x14ac:dyDescent="0.25">
      <c r="B39" s="3283" t="s">
        <v>686</v>
      </c>
      <c r="C39" s="3284"/>
      <c r="D39" s="1056" t="s">
        <v>68</v>
      </c>
      <c r="E39" s="30"/>
      <c r="F39" s="30"/>
      <c r="G39" s="30"/>
      <c r="H39" s="30"/>
      <c r="I39" s="30"/>
      <c r="V39" s="188" t="s">
        <v>207</v>
      </c>
    </row>
    <row r="40" spans="2:33" ht="39.6" customHeight="1" thickBot="1" x14ac:dyDescent="0.25">
      <c r="B40" s="3258" t="s">
        <v>598</v>
      </c>
      <c r="C40" s="1055">
        <f>'F. resultad econ. glob. detalh'!C305</f>
        <v>0</v>
      </c>
      <c r="D40" s="1057" t="str">
        <f>IF(C40=C41,"CERTO","ERRO")</f>
        <v>CERTO</v>
      </c>
      <c r="E40" s="3280" t="str">
        <f>IF(D40="erro",$C$157,"-")</f>
        <v>-</v>
      </c>
      <c r="F40" s="3281"/>
      <c r="G40" s="3281"/>
      <c r="H40" s="3281"/>
      <c r="I40" s="3282"/>
      <c r="V40" s="188" t="s">
        <v>207</v>
      </c>
    </row>
    <row r="41" spans="2:33" ht="44.45" customHeight="1" thickBot="1" x14ac:dyDescent="0.25">
      <c r="B41" s="3259"/>
      <c r="C41" s="1027">
        <f>'F. resultad econ. glob. detalh'!C306</f>
        <v>0</v>
      </c>
      <c r="D41" s="1053" t="str">
        <f ca="1">IF(C41=C42,"CERTO","ERRO")</f>
        <v>CERTO</v>
      </c>
      <c r="E41" s="3280" t="str">
        <f ca="1">IF(D41="erro",$C$157,"-")</f>
        <v>-</v>
      </c>
      <c r="F41" s="3281"/>
      <c r="G41" s="3281"/>
      <c r="H41" s="3281"/>
      <c r="I41" s="3282"/>
      <c r="V41" s="188" t="s">
        <v>207</v>
      </c>
    </row>
    <row r="42" spans="2:33" ht="42.6" customHeight="1" thickBot="1" x14ac:dyDescent="0.25">
      <c r="B42" s="3260"/>
      <c r="C42" s="1042">
        <f ca="1">'F. resultad econ. glob. detalh'!C307</f>
        <v>0</v>
      </c>
      <c r="D42" s="1054" t="str">
        <f ca="1">IF(C42=C40,"CERTO","ERRO")</f>
        <v>CERTO</v>
      </c>
      <c r="E42" s="3280" t="str">
        <f ca="1">IF(D42="erro",$C$157,"-")</f>
        <v>-</v>
      </c>
      <c r="F42" s="3281"/>
      <c r="G42" s="3281"/>
      <c r="H42" s="3281"/>
      <c r="I42" s="3282"/>
      <c r="V42" s="188" t="s">
        <v>207</v>
      </c>
    </row>
    <row r="43" spans="2:33" ht="13.5" thickBot="1" x14ac:dyDescent="0.25">
      <c r="B43" s="30"/>
      <c r="C43" s="1052"/>
      <c r="D43" s="30"/>
      <c r="E43" s="30"/>
      <c r="F43" s="30"/>
      <c r="G43" s="30"/>
      <c r="H43" s="30">
        <f ca="1">COUNTA(D40:D42)</f>
        <v>3</v>
      </c>
      <c r="I43" s="30">
        <f ca="1">COUNTIF(D40:D42,"CERTO")</f>
        <v>3</v>
      </c>
      <c r="J43" s="30"/>
      <c r="K43" s="30"/>
      <c r="L43" s="30"/>
      <c r="M43" s="30"/>
      <c r="N43" s="30"/>
      <c r="O43" s="30"/>
      <c r="P43" s="30"/>
      <c r="Q43" s="30"/>
      <c r="R43" s="30"/>
      <c r="S43" s="30"/>
      <c r="T43" s="30"/>
      <c r="U43" s="30"/>
      <c r="V43" s="188" t="s">
        <v>207</v>
      </c>
    </row>
    <row r="44" spans="2:33" ht="13.5" thickBot="1" x14ac:dyDescent="0.25">
      <c r="B44" s="3270" t="str">
        <f>'F. resultad econ. glob. detalh'!B313</f>
        <v>MARGEM LÍQUIDA TOTAL</v>
      </c>
      <c r="C44" s="3277"/>
      <c r="D44" s="3278"/>
      <c r="E44" s="3288" t="s">
        <v>602</v>
      </c>
      <c r="F44" s="3262"/>
      <c r="G44" s="3262"/>
      <c r="H44" s="3262"/>
      <c r="I44" s="3263"/>
      <c r="V44" s="188" t="s">
        <v>207</v>
      </c>
    </row>
    <row r="45" spans="2:33" ht="60.6" customHeight="1" thickBot="1" x14ac:dyDescent="0.25">
      <c r="B45" s="619">
        <f ca="1">ROUNDUP(C45,2)</f>
        <v>9395</v>
      </c>
      <c r="C45" s="1027">
        <f ca="1">'F. resultad econ. glob. detalh'!C313</f>
        <v>9395</v>
      </c>
      <c r="D45" s="1028" t="e">
        <f ca="1">IF(B45=B46,"CERTO","ERRO")</f>
        <v>#VALUE!</v>
      </c>
      <c r="E45" s="3285" t="e">
        <f ca="1">IF(D45="erro",$C$156,"-")</f>
        <v>#VALUE!</v>
      </c>
      <c r="F45" s="3286"/>
      <c r="G45" s="3286"/>
      <c r="H45" s="3286"/>
      <c r="I45" s="3287"/>
      <c r="V45" s="188" t="s">
        <v>207</v>
      </c>
    </row>
    <row r="46" spans="2:33" ht="35.450000000000003" customHeight="1" thickBot="1" x14ac:dyDescent="0.25">
      <c r="B46" s="619" t="e">
        <f>ROUNDUP(C46,2)</f>
        <v>#VALUE!</v>
      </c>
      <c r="C46" s="1027" t="e">
        <f>'F. resultad econ. glob. detalh'!C314</f>
        <v>#VALUE!</v>
      </c>
      <c r="D46" s="1028" t="e">
        <f ca="1">IF(B46=B45,"CERTO","ERRO")</f>
        <v>#VALUE!</v>
      </c>
      <c r="E46" s="3285" t="e">
        <f ca="1">IF(D46="erro",$C$156,"-")</f>
        <v>#VALUE!</v>
      </c>
      <c r="F46" s="3286"/>
      <c r="G46" s="3286"/>
      <c r="H46" s="3286"/>
      <c r="I46" s="3287"/>
      <c r="V46" s="188" t="s">
        <v>207</v>
      </c>
    </row>
    <row r="47" spans="2:33" ht="44.45" customHeight="1" thickBot="1" x14ac:dyDescent="0.25">
      <c r="B47" s="1063">
        <f ca="1">ROUNDUP(C47,2)</f>
        <v>10576.25</v>
      </c>
      <c r="C47" s="1064">
        <f ca="1">'F. resultad econ. glob. detalh'!C315</f>
        <v>10576.25</v>
      </c>
      <c r="D47" s="1065" t="str">
        <f ca="1">IF(B47=B45,"CERTO","ERRO")</f>
        <v>ERRO</v>
      </c>
      <c r="E47" s="3285" t="str">
        <f ca="1">IF(D47="erro",$C$156,"-")</f>
        <v>FAÇA AS MESMAS VERIFICAÇÕES FEITAS NO CUSTO OPERACIONAL E DEPRECIAÇÃO.</v>
      </c>
      <c r="F47" s="3286"/>
      <c r="G47" s="3286"/>
      <c r="H47" s="3286"/>
      <c r="I47" s="3287"/>
      <c r="V47" s="188" t="s">
        <v>207</v>
      </c>
    </row>
    <row r="48" spans="2:33" ht="13.5" thickBot="1" x14ac:dyDescent="0.25">
      <c r="B48" s="30"/>
      <c r="C48" s="30"/>
      <c r="D48" s="30"/>
      <c r="E48" s="30"/>
      <c r="F48" s="30"/>
      <c r="G48" s="30"/>
      <c r="H48" s="30">
        <f ca="1">COUNTA(D45:D47)</f>
        <v>3</v>
      </c>
      <c r="I48" s="992">
        <f ca="1">COUNTIF(D45:D47,"CERTO")</f>
        <v>0</v>
      </c>
      <c r="J48" s="30"/>
      <c r="K48" s="30"/>
      <c r="L48" s="30"/>
      <c r="M48" s="30"/>
      <c r="N48" s="30"/>
      <c r="O48" s="30"/>
      <c r="P48" s="30"/>
      <c r="Q48" s="30"/>
      <c r="R48" s="30"/>
      <c r="S48" s="30"/>
      <c r="T48" s="30"/>
      <c r="U48" s="30"/>
      <c r="V48" s="188" t="s">
        <v>207</v>
      </c>
    </row>
    <row r="49" spans="2:22" ht="15.75" x14ac:dyDescent="0.25">
      <c r="C49" s="1070" t="s">
        <v>604</v>
      </c>
      <c r="D49" s="1066"/>
      <c r="E49" s="1068" t="s">
        <v>68</v>
      </c>
      <c r="F49" s="30"/>
      <c r="G49" s="30"/>
      <c r="H49" s="30"/>
      <c r="I49" s="30"/>
      <c r="J49" s="30"/>
      <c r="K49" s="30"/>
      <c r="L49" s="30"/>
      <c r="M49" s="30"/>
      <c r="N49" s="30"/>
      <c r="O49" s="30"/>
      <c r="P49" s="30"/>
      <c r="Q49" s="30"/>
      <c r="R49" s="30"/>
      <c r="S49" s="30"/>
      <c r="T49" s="30"/>
      <c r="U49" s="30"/>
      <c r="V49" s="188" t="s">
        <v>207</v>
      </c>
    </row>
    <row r="50" spans="2:22" ht="45" customHeight="1" x14ac:dyDescent="0.2">
      <c r="B50" s="30"/>
      <c r="C50" s="1666" t="str">
        <f>'DESPESAS (Agr.)'!D40</f>
        <v/>
      </c>
      <c r="D50" s="1067" t="b">
        <f>IF('DESPESAS (Agr.)'!H40&gt;0,IF('DESPESAS (Agr.)'!H60&gt;0,"CERTO","ERRO"))</f>
        <v>0</v>
      </c>
      <c r="E50" s="1069" t="str">
        <f>IF(D50="ERRO","ERRO","CERTO")</f>
        <v>CERTO</v>
      </c>
      <c r="F50" s="3249" t="str">
        <f>IF(E50="ERRO",C$159,"-")</f>
        <v>-</v>
      </c>
      <c r="G50" s="3250"/>
      <c r="H50" s="3250"/>
      <c r="I50" s="3251"/>
      <c r="J50" s="30"/>
      <c r="K50" s="30"/>
      <c r="L50" s="30"/>
      <c r="M50" s="30"/>
      <c r="N50" s="30"/>
      <c r="O50" s="30"/>
      <c r="P50" s="30"/>
      <c r="Q50" s="30"/>
      <c r="R50" s="30"/>
      <c r="S50" s="30"/>
      <c r="T50" s="30"/>
      <c r="U50" s="30"/>
      <c r="V50" s="188" t="s">
        <v>207</v>
      </c>
    </row>
    <row r="51" spans="2:22" ht="46.9" customHeight="1" x14ac:dyDescent="0.2">
      <c r="B51" s="30"/>
      <c r="C51" s="1666" t="str">
        <f>'DESPESAS (Agr.)'!D64</f>
        <v/>
      </c>
      <c r="D51" s="1067" t="b">
        <f>IF('DESPESAS (Agr.)'!H64&gt;0,IF('DESPESAS (Agr.)'!I84&gt;0,"CERTO","ERRO"))</f>
        <v>0</v>
      </c>
      <c r="E51" s="1069" t="str">
        <f t="shared" ref="E51:E64" si="0">IF(D51="ERRO","ERRO","CERTO")</f>
        <v>CERTO</v>
      </c>
      <c r="F51" s="3249" t="str">
        <f t="shared" ref="F51:F64" si="1">IF(E51="ERRO",C$159,"-")</f>
        <v>-</v>
      </c>
      <c r="G51" s="3250"/>
      <c r="H51" s="3250"/>
      <c r="I51" s="3251"/>
      <c r="J51" s="30"/>
      <c r="K51" s="30"/>
      <c r="L51" s="30"/>
      <c r="M51" s="30"/>
      <c r="N51" s="30"/>
      <c r="O51" s="30"/>
      <c r="P51" s="30"/>
      <c r="Q51" s="30"/>
      <c r="R51" s="30"/>
      <c r="S51" s="30"/>
      <c r="T51" s="30"/>
      <c r="U51" s="30"/>
      <c r="V51" s="188"/>
    </row>
    <row r="52" spans="2:22" ht="45.6" customHeight="1" x14ac:dyDescent="0.2">
      <c r="B52" s="30"/>
      <c r="C52" s="1666" t="str">
        <f>'DESPESAS (Agr.)'!D88</f>
        <v/>
      </c>
      <c r="D52" s="1067" t="b">
        <f>IF('DESPESAS (Agr.)'!I88&gt;0,IF('DESPESAS (Agr.)'!I108&gt;0,"CERTO","ERRO"))</f>
        <v>0</v>
      </c>
      <c r="E52" s="1069" t="str">
        <f t="shared" si="0"/>
        <v>CERTO</v>
      </c>
      <c r="F52" s="3249" t="str">
        <f t="shared" si="1"/>
        <v>-</v>
      </c>
      <c r="G52" s="3250"/>
      <c r="H52" s="3250"/>
      <c r="I52" s="3251"/>
      <c r="J52" s="30"/>
      <c r="K52" s="30"/>
      <c r="L52" s="30"/>
      <c r="M52" s="30"/>
      <c r="N52" s="30"/>
      <c r="O52" s="30"/>
      <c r="P52" s="30"/>
      <c r="Q52" s="30"/>
      <c r="R52" s="30"/>
      <c r="S52" s="30"/>
      <c r="T52" s="30"/>
      <c r="U52" s="30"/>
      <c r="V52" s="188"/>
    </row>
    <row r="53" spans="2:22" ht="55.15" customHeight="1" x14ac:dyDescent="0.2">
      <c r="B53" s="30"/>
      <c r="C53" s="1666" t="str">
        <f>'DESPESAS (Agr.)'!D112</f>
        <v/>
      </c>
      <c r="D53" s="1067" t="b">
        <f>IF('DESPESAS (Agr.)'!I112&gt;0,IF('DESPESAS (Agr.)'!I132&gt;0,"CERTO","ERRO"))</f>
        <v>0</v>
      </c>
      <c r="E53" s="1069" t="str">
        <f t="shared" si="0"/>
        <v>CERTO</v>
      </c>
      <c r="F53" s="3249" t="str">
        <f t="shared" si="1"/>
        <v>-</v>
      </c>
      <c r="G53" s="3250"/>
      <c r="H53" s="3250"/>
      <c r="I53" s="3251"/>
      <c r="J53" s="30"/>
      <c r="K53" s="30"/>
      <c r="L53" s="30"/>
      <c r="M53" s="30"/>
      <c r="N53" s="30"/>
      <c r="O53" s="30"/>
      <c r="P53" s="30"/>
      <c r="Q53" s="30"/>
      <c r="R53" s="30"/>
      <c r="S53" s="30"/>
      <c r="T53" s="30"/>
      <c r="U53" s="30"/>
      <c r="V53" s="188"/>
    </row>
    <row r="54" spans="2:22" ht="45.6" customHeight="1" x14ac:dyDescent="0.2">
      <c r="B54" s="30"/>
      <c r="C54" s="1666" t="str">
        <f>'DESPESAS (Agr.)'!D136</f>
        <v/>
      </c>
      <c r="D54" s="1067" t="b">
        <f>IF('DESPESAS (Agr.)'!I136&gt;0,IF('DESPESAS (Agr.)'!I157&gt;0,"CERTO","ERRO"))</f>
        <v>0</v>
      </c>
      <c r="E54" s="1069" t="str">
        <f t="shared" si="0"/>
        <v>CERTO</v>
      </c>
      <c r="F54" s="3249" t="str">
        <f t="shared" si="1"/>
        <v>-</v>
      </c>
      <c r="G54" s="3250"/>
      <c r="H54" s="3250"/>
      <c r="I54" s="3251"/>
      <c r="J54" s="30"/>
      <c r="K54" s="30"/>
      <c r="L54" s="30"/>
      <c r="M54" s="30"/>
      <c r="N54" s="30"/>
      <c r="O54" s="30"/>
      <c r="P54" s="30"/>
      <c r="Q54" s="30"/>
      <c r="R54" s="30"/>
      <c r="S54" s="30"/>
      <c r="T54" s="30"/>
      <c r="U54" s="30"/>
      <c r="V54" s="188"/>
    </row>
    <row r="55" spans="2:22" ht="42.6" customHeight="1" x14ac:dyDescent="0.2">
      <c r="B55" s="30"/>
      <c r="C55" s="1666">
        <f>'DESPESAS (Agr.)'!D159</f>
        <v>0</v>
      </c>
      <c r="D55" s="1067" t="b">
        <f>IF('DESPESAS (Agr.)'!I159&gt;0,IF('DESPESAS (Agr.)'!I179&gt;0,"CERTO","ERRO"))</f>
        <v>0</v>
      </c>
      <c r="E55" s="1069" t="str">
        <f t="shared" si="0"/>
        <v>CERTO</v>
      </c>
      <c r="F55" s="3249" t="str">
        <f t="shared" si="1"/>
        <v>-</v>
      </c>
      <c r="G55" s="3250"/>
      <c r="H55" s="3250"/>
      <c r="I55" s="3251"/>
      <c r="J55" s="30"/>
      <c r="K55" s="30"/>
      <c r="L55" s="30"/>
      <c r="M55" s="30"/>
      <c r="N55" s="30"/>
      <c r="O55" s="30"/>
      <c r="P55" s="30"/>
      <c r="Q55" s="30"/>
      <c r="R55" s="30"/>
      <c r="S55" s="30"/>
      <c r="T55" s="30"/>
      <c r="U55" s="30"/>
      <c r="V55" s="188"/>
    </row>
    <row r="56" spans="2:22" ht="43.9" customHeight="1" x14ac:dyDescent="0.2">
      <c r="B56" s="30"/>
      <c r="C56" s="1666">
        <f>'DESPESAS (Agr.)'!D182</f>
        <v>0</v>
      </c>
      <c r="D56" s="1067" t="b">
        <f>IF('DESPESAS (Agr.)'!I182&gt;0,IF('DESPESAS (Agr.)'!I202&gt;0,"CERTO","ERRO"))</f>
        <v>0</v>
      </c>
      <c r="E56" s="1069" t="str">
        <f t="shared" si="0"/>
        <v>CERTO</v>
      </c>
      <c r="F56" s="3249" t="str">
        <f t="shared" si="1"/>
        <v>-</v>
      </c>
      <c r="G56" s="3250"/>
      <c r="H56" s="3250"/>
      <c r="I56" s="3251"/>
      <c r="J56" s="30"/>
      <c r="K56" s="30"/>
      <c r="L56" s="30"/>
      <c r="M56" s="30"/>
      <c r="N56" s="30"/>
      <c r="O56" s="30"/>
      <c r="P56" s="30"/>
      <c r="Q56" s="30"/>
      <c r="R56" s="30"/>
      <c r="S56" s="30"/>
      <c r="T56" s="30"/>
      <c r="U56" s="30"/>
      <c r="V56" s="188"/>
    </row>
    <row r="57" spans="2:22" ht="46.15" customHeight="1" x14ac:dyDescent="0.2">
      <c r="B57" s="30"/>
      <c r="C57" s="1666">
        <f>'DESPESAS (Agr.)'!D206</f>
        <v>0</v>
      </c>
      <c r="D57" s="1067" t="b">
        <f>IF('DESPESAS (Agr.)'!I206&gt;0,IF('DESPESAS (Agr.)'!I226&gt;0,"CERTO","ERRO"))</f>
        <v>0</v>
      </c>
      <c r="E57" s="1069" t="str">
        <f t="shared" si="0"/>
        <v>CERTO</v>
      </c>
      <c r="F57" s="3249" t="str">
        <f t="shared" si="1"/>
        <v>-</v>
      </c>
      <c r="G57" s="3250"/>
      <c r="H57" s="3250"/>
      <c r="I57" s="3251"/>
      <c r="J57" s="30"/>
      <c r="K57" s="30"/>
      <c r="L57" s="30"/>
      <c r="M57" s="30"/>
      <c r="N57" s="30"/>
      <c r="O57" s="30"/>
      <c r="P57" s="30"/>
      <c r="Q57" s="30"/>
      <c r="R57" s="30"/>
      <c r="S57" s="30"/>
      <c r="T57" s="30"/>
      <c r="U57" s="30"/>
      <c r="V57" s="188"/>
    </row>
    <row r="58" spans="2:22" ht="39.6" customHeight="1" x14ac:dyDescent="0.2">
      <c r="B58" s="30"/>
      <c r="C58" s="1666">
        <f>'DESPESAS (Agr.)'!D230</f>
        <v>0</v>
      </c>
      <c r="D58" s="1067" t="b">
        <f>IF('DESPESAS (Agr.)'!I230&gt;0,IF('DESPESAS (Agr.)'!I247&gt;0,"CERTO","ERRO"))</f>
        <v>0</v>
      </c>
      <c r="E58" s="1069" t="str">
        <f t="shared" si="0"/>
        <v>CERTO</v>
      </c>
      <c r="F58" s="3249" t="str">
        <f t="shared" si="1"/>
        <v>-</v>
      </c>
      <c r="G58" s="3250"/>
      <c r="H58" s="3250"/>
      <c r="I58" s="3251"/>
      <c r="J58" s="30"/>
      <c r="K58" s="30"/>
      <c r="L58" s="30"/>
      <c r="M58" s="30"/>
      <c r="N58" s="30"/>
      <c r="O58" s="30"/>
      <c r="P58" s="30"/>
      <c r="Q58" s="30"/>
      <c r="R58" s="30"/>
      <c r="S58" s="30"/>
      <c r="T58" s="30"/>
      <c r="U58" s="30"/>
      <c r="V58" s="188"/>
    </row>
    <row r="59" spans="2:22" ht="40.9" customHeight="1" x14ac:dyDescent="0.2">
      <c r="B59" s="30"/>
      <c r="C59" s="1666">
        <f>'DESPESAS (Agr.)'!D251</f>
        <v>0</v>
      </c>
      <c r="D59" s="1067" t="b">
        <f>IF('DESPESAS (Agr.)'!I251&gt;0,IF('DESPESAS (Agr.)'!I268&gt;0,"CERTO","ERRO"))</f>
        <v>0</v>
      </c>
      <c r="E59" s="1069" t="str">
        <f t="shared" si="0"/>
        <v>CERTO</v>
      </c>
      <c r="F59" s="3249" t="str">
        <f t="shared" si="1"/>
        <v>-</v>
      </c>
      <c r="G59" s="3250"/>
      <c r="H59" s="3250"/>
      <c r="I59" s="3251"/>
      <c r="J59" s="30"/>
      <c r="K59" s="30"/>
      <c r="L59" s="30"/>
      <c r="M59" s="30"/>
      <c r="N59" s="30"/>
      <c r="O59" s="30"/>
      <c r="P59" s="30"/>
      <c r="Q59" s="30"/>
      <c r="R59" s="30"/>
      <c r="S59" s="30"/>
      <c r="T59" s="30"/>
      <c r="U59" s="30"/>
      <c r="V59" s="188"/>
    </row>
    <row r="60" spans="2:22" ht="46.15" customHeight="1" x14ac:dyDescent="0.2">
      <c r="B60" s="30"/>
      <c r="C60" s="1666" t="str">
        <f>'DESPESAS (Agr.)'!D272</f>
        <v>sobressemeadura</v>
      </c>
      <c r="D60" s="1067" t="b">
        <f>IF('DESPESAS (Agr.)'!I272&gt;0,IF('DESPESAS (Agr.)'!I289&gt;0,"CERTO","ERRO"))</f>
        <v>0</v>
      </c>
      <c r="E60" s="1069" t="str">
        <f t="shared" si="0"/>
        <v>CERTO</v>
      </c>
      <c r="F60" s="3249" t="str">
        <f t="shared" si="1"/>
        <v>-</v>
      </c>
      <c r="G60" s="3250"/>
      <c r="H60" s="3250"/>
      <c r="I60" s="3251"/>
      <c r="J60" s="30"/>
      <c r="K60" s="30"/>
      <c r="L60" s="30"/>
      <c r="M60" s="30"/>
      <c r="N60" s="30"/>
      <c r="O60" s="30"/>
      <c r="P60" s="30"/>
      <c r="Q60" s="30"/>
      <c r="R60" s="30"/>
      <c r="S60" s="30"/>
      <c r="T60" s="30"/>
      <c r="U60" s="30"/>
      <c r="V60" s="188"/>
    </row>
    <row r="61" spans="2:22" ht="39" customHeight="1" x14ac:dyDescent="0.2">
      <c r="B61" s="30"/>
      <c r="C61" s="1666">
        <f>'DESPESAS (Agr.)'!D293</f>
        <v>0</v>
      </c>
      <c r="D61" s="1067" t="b">
        <f>IF('DESPESAS (Agr.)'!I293&gt;0,IF('DESPESAS (Agr.)'!I310&gt;0,"CERTO","ERRO"))</f>
        <v>0</v>
      </c>
      <c r="E61" s="1069" t="str">
        <f>IF(D61="ERRO","ERRO","CERTO")</f>
        <v>CERTO</v>
      </c>
      <c r="F61" s="3249" t="str">
        <f t="shared" si="1"/>
        <v>-</v>
      </c>
      <c r="G61" s="3250"/>
      <c r="H61" s="3250"/>
      <c r="I61" s="3251"/>
      <c r="J61" s="30"/>
      <c r="K61" s="30"/>
      <c r="L61" s="30"/>
      <c r="M61" s="30"/>
      <c r="N61" s="30"/>
      <c r="O61" s="30"/>
      <c r="P61" s="30"/>
      <c r="Q61" s="30"/>
      <c r="R61" s="30"/>
      <c r="S61" s="30"/>
      <c r="T61" s="30"/>
      <c r="U61" s="30"/>
      <c r="V61" s="188"/>
    </row>
    <row r="62" spans="2:22" ht="37.15" customHeight="1" x14ac:dyDescent="0.2">
      <c r="B62" s="30"/>
      <c r="C62" s="1666">
        <f>'DESPESAS (Agr.)'!D316</f>
        <v>0</v>
      </c>
      <c r="D62" s="1067" t="b">
        <f>IF('DESPESAS (Agr.)'!I316&gt;0,IF('DESPESAS (Agr.)'!I333&gt;0,"CERTO","ERRO"))</f>
        <v>0</v>
      </c>
      <c r="E62" s="1069" t="str">
        <f t="shared" si="0"/>
        <v>CERTO</v>
      </c>
      <c r="F62" s="3249" t="str">
        <f t="shared" si="1"/>
        <v>-</v>
      </c>
      <c r="G62" s="3250"/>
      <c r="H62" s="3250"/>
      <c r="I62" s="3251"/>
      <c r="J62" s="30"/>
      <c r="K62" s="30"/>
      <c r="L62" s="30"/>
      <c r="M62" s="30"/>
      <c r="N62" s="30"/>
      <c r="O62" s="30"/>
      <c r="P62" s="30"/>
      <c r="Q62" s="30"/>
      <c r="R62" s="30"/>
      <c r="S62" s="30"/>
      <c r="T62" s="30"/>
      <c r="U62" s="30"/>
      <c r="V62" s="188"/>
    </row>
    <row r="63" spans="2:22" ht="39.6" customHeight="1" x14ac:dyDescent="0.2">
      <c r="B63" s="30"/>
      <c r="C63" s="1666">
        <f>'DESPESAS (Agr.)'!D337</f>
        <v>0</v>
      </c>
      <c r="D63" s="1067" t="b">
        <f>IF('DESPESAS (Agr.)'!I337&gt;0,IF('DESPESAS (Agr.)'!I358&gt;0,"CERTO","ERRO"))</f>
        <v>0</v>
      </c>
      <c r="E63" s="1069" t="str">
        <f t="shared" si="0"/>
        <v>CERTO</v>
      </c>
      <c r="F63" s="3249" t="str">
        <f t="shared" si="1"/>
        <v>-</v>
      </c>
      <c r="G63" s="3250"/>
      <c r="H63" s="3250"/>
      <c r="I63" s="3251"/>
      <c r="J63" s="30"/>
      <c r="K63" s="30"/>
      <c r="L63" s="30"/>
      <c r="M63" s="30"/>
      <c r="N63" s="30"/>
      <c r="O63" s="30"/>
      <c r="P63" s="30"/>
      <c r="Q63" s="30"/>
      <c r="R63" s="30"/>
      <c r="S63" s="30"/>
      <c r="T63" s="30"/>
      <c r="U63" s="30"/>
      <c r="V63" s="188"/>
    </row>
    <row r="64" spans="2:22" ht="33.6" customHeight="1" x14ac:dyDescent="0.2">
      <c r="B64" s="30"/>
      <c r="C64" s="1666">
        <f>'DESPESAS (Agr.)'!D362</f>
        <v>0</v>
      </c>
      <c r="D64" s="1067" t="b">
        <f>IF('DESPESAS (Agr.)'!I362&gt;0,IF('DESPESAS (Agr.)'!I383&gt;0,"CERTO","ERRO"))</f>
        <v>0</v>
      </c>
      <c r="E64" s="1069" t="str">
        <f t="shared" si="0"/>
        <v>CERTO</v>
      </c>
      <c r="F64" s="3249" t="str">
        <f t="shared" si="1"/>
        <v>-</v>
      </c>
      <c r="G64" s="3250"/>
      <c r="H64" s="3250"/>
      <c r="I64" s="3251"/>
      <c r="J64" s="30"/>
      <c r="K64" s="30"/>
      <c r="L64" s="30"/>
      <c r="M64" s="30"/>
      <c r="N64" s="30"/>
      <c r="O64" s="30"/>
      <c r="P64" s="30"/>
      <c r="Q64" s="30"/>
      <c r="R64" s="30"/>
      <c r="S64" s="30"/>
      <c r="T64" s="30"/>
      <c r="U64" s="30"/>
      <c r="V64" s="188"/>
    </row>
    <row r="65" spans="2:33" s="207" customFormat="1" ht="19.899999999999999" customHeight="1" thickBot="1" x14ac:dyDescent="0.25">
      <c r="B65" s="206"/>
      <c r="C65" s="1112"/>
      <c r="D65" s="1113"/>
      <c r="E65" s="1114"/>
      <c r="F65" s="1115"/>
      <c r="G65" s="1115"/>
      <c r="H65" s="1115">
        <f>COUNTA(E50:E64)</f>
        <v>15</v>
      </c>
      <c r="I65" s="1115">
        <f>COUNTIF(E50:E64,"CERTO")</f>
        <v>15</v>
      </c>
      <c r="J65" s="206"/>
      <c r="K65" s="206"/>
      <c r="L65" s="206"/>
      <c r="M65" s="206"/>
      <c r="N65" s="206"/>
      <c r="O65" s="206"/>
      <c r="P65" s="206"/>
      <c r="Q65" s="206"/>
      <c r="R65" s="206"/>
      <c r="S65" s="206"/>
      <c r="T65" s="206"/>
      <c r="U65" s="206"/>
      <c r="V65" s="1116"/>
      <c r="W65" s="206"/>
      <c r="X65" s="206"/>
      <c r="Y65" s="206"/>
      <c r="Z65" s="206"/>
      <c r="AA65" s="206"/>
      <c r="AB65" s="206"/>
      <c r="AC65" s="206"/>
      <c r="AD65" s="206"/>
      <c r="AE65" s="206"/>
      <c r="AF65" s="206"/>
      <c r="AG65" s="206"/>
    </row>
    <row r="66" spans="2:33" ht="40.9" customHeight="1" thickBot="1" x14ac:dyDescent="0.3">
      <c r="B66" s="30"/>
      <c r="C66" s="3247" t="s">
        <v>22</v>
      </c>
      <c r="D66" s="3248"/>
      <c r="E66" s="1283"/>
      <c r="F66" s="1115"/>
      <c r="G66" s="1115"/>
      <c r="H66" s="1115"/>
      <c r="I66" s="1115"/>
      <c r="J66" s="30"/>
      <c r="K66" s="30"/>
      <c r="L66" s="30"/>
      <c r="M66" s="30"/>
      <c r="N66" s="30"/>
      <c r="O66" s="30"/>
      <c r="P66" s="30"/>
      <c r="Q66" s="30"/>
      <c r="R66" s="30"/>
      <c r="S66" s="30"/>
      <c r="T66" s="30"/>
      <c r="U66" s="30"/>
      <c r="V66" s="188"/>
    </row>
    <row r="67" spans="2:33" ht="31.15" customHeight="1" x14ac:dyDescent="0.2">
      <c r="B67" s="30"/>
      <c r="C67" s="1282"/>
      <c r="D67" s="1285" t="s">
        <v>68</v>
      </c>
      <c r="E67" s="1284"/>
      <c r="F67" s="1115"/>
      <c r="G67" s="1115"/>
      <c r="H67" s="1115"/>
      <c r="I67" s="1115"/>
      <c r="J67" s="30"/>
      <c r="K67" s="30"/>
      <c r="L67" s="30"/>
      <c r="M67" s="30"/>
      <c r="N67" s="30"/>
      <c r="O67" s="30"/>
      <c r="P67" s="30"/>
      <c r="Q67" s="30"/>
      <c r="R67" s="30"/>
      <c r="S67" s="30"/>
      <c r="T67" s="30"/>
      <c r="U67" s="30"/>
      <c r="V67" s="188"/>
    </row>
    <row r="68" spans="2:33" ht="33" customHeight="1" x14ac:dyDescent="0.2">
      <c r="B68" s="30"/>
      <c r="C68" s="1280" t="s">
        <v>635</v>
      </c>
      <c r="D68" s="1069" t="str">
        <f>IF(SOLO!K43&gt;SOLO!I43,"ERRO","CERTO")</f>
        <v>CERTO</v>
      </c>
      <c r="E68" s="1284" t="str">
        <f>IF(D68="erro",$C$164,"-")</f>
        <v>-</v>
      </c>
      <c r="F68" s="1115"/>
      <c r="G68" s="1115"/>
      <c r="H68" s="1115"/>
      <c r="I68" s="1115"/>
      <c r="J68" s="30"/>
      <c r="K68" s="30"/>
      <c r="L68" s="30"/>
      <c r="M68" s="30"/>
      <c r="N68" s="30"/>
      <c r="O68" s="30"/>
      <c r="P68" s="30"/>
      <c r="Q68" s="30"/>
      <c r="R68" s="30"/>
      <c r="S68" s="30"/>
      <c r="T68" s="30"/>
      <c r="U68" s="30"/>
      <c r="V68" s="188"/>
    </row>
    <row r="69" spans="2:33" ht="33.6" customHeight="1" x14ac:dyDescent="0.2">
      <c r="B69" s="30"/>
      <c r="C69" s="1280" t="s">
        <v>636</v>
      </c>
      <c r="D69" s="1069" t="e">
        <f>IF(SOLO!#REF!&gt;SOLO!#REF!,"ERRO","CERTO")</f>
        <v>#REF!</v>
      </c>
      <c r="E69" s="1284" t="e">
        <f t="shared" ref="E69:E78" si="2">IF(D69="erro",$C$164,"-")</f>
        <v>#REF!</v>
      </c>
      <c r="F69" s="1115"/>
      <c r="G69" s="1115"/>
      <c r="H69" s="1115"/>
      <c r="I69" s="1115"/>
      <c r="J69" s="30"/>
      <c r="K69" s="30"/>
      <c r="L69" s="30"/>
      <c r="M69" s="30"/>
      <c r="N69" s="30"/>
      <c r="O69" s="30"/>
      <c r="P69" s="30"/>
      <c r="Q69" s="30"/>
      <c r="R69" s="30"/>
      <c r="S69" s="30"/>
      <c r="T69" s="30"/>
      <c r="U69" s="30"/>
      <c r="V69" s="188"/>
    </row>
    <row r="70" spans="2:33" ht="36.6" customHeight="1" x14ac:dyDescent="0.2">
      <c r="B70" s="30"/>
      <c r="C70" s="1280">
        <f>SOLO!G9</f>
        <v>0</v>
      </c>
      <c r="D70" s="1069" t="str">
        <f>IF(SOLO!J9&gt;SOLO!I9,"ERRO","CERTO")</f>
        <v>CERTO</v>
      </c>
      <c r="E70" s="1284" t="str">
        <f t="shared" si="2"/>
        <v>-</v>
      </c>
      <c r="F70" s="1115"/>
      <c r="G70" s="1115"/>
      <c r="H70" s="1115"/>
      <c r="I70" s="1115"/>
      <c r="J70" s="30"/>
      <c r="K70" s="30"/>
      <c r="L70" s="30"/>
      <c r="M70" s="30"/>
      <c r="N70" s="30"/>
      <c r="O70" s="30"/>
      <c r="P70" s="30"/>
      <c r="Q70" s="30"/>
      <c r="R70" s="30"/>
      <c r="S70" s="30"/>
      <c r="T70" s="30"/>
      <c r="U70" s="30"/>
      <c r="V70" s="188"/>
    </row>
    <row r="71" spans="2:33" ht="40.15" customHeight="1" x14ac:dyDescent="0.2">
      <c r="B71" s="30"/>
      <c r="C71" s="1280">
        <f>SOLO!G10</f>
        <v>0</v>
      </c>
      <c r="D71" s="1069" t="str">
        <f>IF(SOLO!J10&gt;SOLO!I10,"ERRO","CERTO")</f>
        <v>CERTO</v>
      </c>
      <c r="E71" s="1284" t="str">
        <f t="shared" si="2"/>
        <v>-</v>
      </c>
      <c r="F71" s="1115"/>
      <c r="G71" s="1115"/>
      <c r="H71" s="1115"/>
      <c r="I71" s="1115"/>
      <c r="J71" s="30"/>
      <c r="K71" s="30"/>
      <c r="L71" s="30"/>
      <c r="M71" s="30"/>
      <c r="N71" s="30"/>
      <c r="O71" s="30"/>
      <c r="P71" s="30"/>
      <c r="Q71" s="30"/>
      <c r="R71" s="30"/>
      <c r="S71" s="30"/>
      <c r="T71" s="30"/>
      <c r="U71" s="30"/>
      <c r="V71" s="188"/>
    </row>
    <row r="72" spans="2:33" ht="33" customHeight="1" x14ac:dyDescent="0.2">
      <c r="B72" s="30"/>
      <c r="C72" s="1280">
        <f>SOLO!G11</f>
        <v>0</v>
      </c>
      <c r="D72" s="1069" t="str">
        <f>IF(SOLO!J11&gt;SOLO!I11,"ERRO","CERTO")</f>
        <v>CERTO</v>
      </c>
      <c r="E72" s="1284" t="str">
        <f t="shared" si="2"/>
        <v>-</v>
      </c>
      <c r="F72" s="1115"/>
      <c r="G72" s="1115"/>
      <c r="H72" s="1115"/>
      <c r="I72" s="1115"/>
      <c r="J72" s="30"/>
      <c r="K72" s="30"/>
      <c r="L72" s="30"/>
      <c r="M72" s="30"/>
      <c r="N72" s="30"/>
      <c r="O72" s="30"/>
      <c r="P72" s="30"/>
      <c r="Q72" s="30"/>
      <c r="R72" s="30"/>
      <c r="S72" s="30"/>
      <c r="T72" s="30"/>
      <c r="U72" s="30"/>
      <c r="V72" s="188"/>
    </row>
    <row r="73" spans="2:33" ht="31.9" customHeight="1" x14ac:dyDescent="0.2">
      <c r="B73" s="30"/>
      <c r="C73" s="1280">
        <f>SOLO!G18</f>
        <v>0</v>
      </c>
      <c r="D73" s="1069" t="str">
        <f>IF(SOLO!J18&gt;SOLO!I18,"ERRO","CERTO")</f>
        <v>CERTO</v>
      </c>
      <c r="E73" s="1284" t="str">
        <f t="shared" si="2"/>
        <v>-</v>
      </c>
      <c r="F73" s="1115"/>
      <c r="G73" s="1115"/>
      <c r="H73" s="1115"/>
      <c r="I73" s="1115"/>
      <c r="J73" s="30"/>
      <c r="K73" s="30"/>
      <c r="L73" s="30"/>
      <c r="M73" s="30"/>
      <c r="N73" s="30"/>
      <c r="O73" s="30"/>
      <c r="P73" s="30"/>
      <c r="Q73" s="30"/>
      <c r="R73" s="30"/>
      <c r="S73" s="30"/>
      <c r="T73" s="30"/>
      <c r="U73" s="30"/>
      <c r="V73" s="188"/>
    </row>
    <row r="74" spans="2:33" ht="30.6" customHeight="1" x14ac:dyDescent="0.2">
      <c r="B74" s="30"/>
      <c r="C74" s="1280">
        <f>SOLO!G19</f>
        <v>0</v>
      </c>
      <c r="D74" s="1069" t="str">
        <f>IF(SOLO!J19&gt;SOLO!I19,"ERRO","CERTO")</f>
        <v>CERTO</v>
      </c>
      <c r="E74" s="1284" t="str">
        <f t="shared" si="2"/>
        <v>-</v>
      </c>
      <c r="F74" s="1115"/>
      <c r="G74" s="1115"/>
      <c r="H74" s="1115"/>
      <c r="I74" s="1115"/>
      <c r="J74" s="30"/>
      <c r="K74" s="30"/>
      <c r="L74" s="30"/>
      <c r="M74" s="30"/>
      <c r="N74" s="30"/>
      <c r="O74" s="30"/>
      <c r="P74" s="30"/>
      <c r="Q74" s="30"/>
      <c r="R74" s="30"/>
      <c r="S74" s="30"/>
      <c r="T74" s="30"/>
      <c r="U74" s="30"/>
      <c r="V74" s="188"/>
    </row>
    <row r="75" spans="2:33" ht="19.899999999999999" customHeight="1" x14ac:dyDescent="0.2">
      <c r="B75" s="30"/>
      <c r="C75" s="1280">
        <f>SOLO!G20</f>
        <v>0</v>
      </c>
      <c r="D75" s="1069" t="str">
        <f>IF(SOLO!J20&gt;SOLO!I20,"ERRO","CERTO")</f>
        <v>CERTO</v>
      </c>
      <c r="E75" s="1284" t="str">
        <f t="shared" si="2"/>
        <v>-</v>
      </c>
      <c r="F75" s="1115"/>
      <c r="G75" s="1115"/>
      <c r="H75" s="1115"/>
      <c r="I75" s="1115"/>
      <c r="J75" s="30"/>
      <c r="K75" s="30"/>
      <c r="L75" s="30"/>
      <c r="M75" s="30"/>
      <c r="N75" s="30"/>
      <c r="O75" s="30"/>
      <c r="P75" s="30"/>
      <c r="Q75" s="30"/>
      <c r="R75" s="30"/>
      <c r="S75" s="30"/>
      <c r="T75" s="30"/>
      <c r="U75" s="30"/>
      <c r="V75" s="188"/>
    </row>
    <row r="76" spans="2:33" ht="39" customHeight="1" x14ac:dyDescent="0.2">
      <c r="B76" s="30"/>
      <c r="C76" s="1673" t="str">
        <f>SOLO!G26</f>
        <v>sobressemeadura</v>
      </c>
      <c r="D76" s="1069" t="str">
        <f>IF(SOLO!L26&gt;auditorias!C166,"ERRO","-")</f>
        <v>-</v>
      </c>
      <c r="E76" s="1284" t="str">
        <f>IF(D76="ERRO",C168,"-")</f>
        <v>-</v>
      </c>
      <c r="F76" s="1115"/>
      <c r="G76" s="1115"/>
      <c r="H76" s="1115"/>
      <c r="I76" s="1115"/>
      <c r="J76" s="30"/>
      <c r="K76" s="30"/>
      <c r="L76" s="30"/>
      <c r="M76" s="30"/>
      <c r="N76" s="30"/>
      <c r="O76" s="30"/>
      <c r="P76" s="30"/>
      <c r="Q76" s="30"/>
      <c r="R76" s="30"/>
      <c r="S76" s="30"/>
      <c r="T76" s="30"/>
      <c r="U76" s="30"/>
      <c r="V76" s="188"/>
    </row>
    <row r="77" spans="2:33" ht="40.15" customHeight="1" x14ac:dyDescent="0.2">
      <c r="B77" s="30"/>
      <c r="C77" s="1280">
        <f>SOLO!G30</f>
        <v>0</v>
      </c>
      <c r="D77" s="1069" t="str">
        <f>IF(SOLO!J30&gt;SOLO!I30,"ERRO","CERTO")</f>
        <v>CERTO</v>
      </c>
      <c r="E77" s="1284" t="str">
        <f t="shared" si="2"/>
        <v>-</v>
      </c>
      <c r="F77" s="1115"/>
      <c r="G77" s="1115"/>
      <c r="H77" s="1115"/>
      <c r="I77" s="1115"/>
      <c r="J77" s="30"/>
      <c r="K77" s="30"/>
      <c r="L77" s="30"/>
      <c r="M77" s="30"/>
      <c r="N77" s="30"/>
      <c r="O77" s="30"/>
      <c r="P77" s="30"/>
      <c r="Q77" s="30"/>
      <c r="R77" s="30"/>
      <c r="S77" s="30"/>
      <c r="T77" s="30"/>
      <c r="U77" s="30"/>
      <c r="V77" s="188"/>
    </row>
    <row r="78" spans="2:33" ht="33.6" customHeight="1" thickBot="1" x14ac:dyDescent="0.25">
      <c r="B78" s="30"/>
      <c r="C78" s="1281">
        <f>SOLO!G32</f>
        <v>0</v>
      </c>
      <c r="D78" s="1069" t="str">
        <f>IF(SOLO!L32&gt;SOLO!K32,"ERRO","CERTO")</f>
        <v>CERTO</v>
      </c>
      <c r="E78" s="1284" t="str">
        <f t="shared" si="2"/>
        <v>-</v>
      </c>
      <c r="F78" s="1115"/>
      <c r="G78" s="1115"/>
      <c r="H78" s="1115"/>
      <c r="I78" s="1115"/>
      <c r="J78" s="30"/>
      <c r="K78" s="30"/>
      <c r="L78" s="30"/>
      <c r="M78" s="30"/>
      <c r="N78" s="30"/>
      <c r="O78" s="30"/>
      <c r="P78" s="30"/>
      <c r="Q78" s="30"/>
      <c r="R78" s="30"/>
      <c r="S78" s="30"/>
      <c r="T78" s="30"/>
      <c r="U78" s="30"/>
      <c r="V78" s="188"/>
    </row>
    <row r="79" spans="2:33" ht="19.899999999999999" customHeight="1" x14ac:dyDescent="0.2">
      <c r="B79" s="30"/>
      <c r="C79" s="1112"/>
      <c r="D79" s="1114"/>
      <c r="E79" s="1114"/>
      <c r="F79" s="1115"/>
      <c r="G79" s="1115"/>
      <c r="H79" s="1115"/>
      <c r="I79" s="1115"/>
      <c r="J79" s="30"/>
      <c r="K79" s="30"/>
      <c r="L79" s="30"/>
      <c r="M79" s="30"/>
      <c r="N79" s="30"/>
      <c r="O79" s="30"/>
      <c r="P79" s="30"/>
      <c r="Q79" s="30"/>
      <c r="R79" s="30"/>
      <c r="S79" s="30"/>
      <c r="T79" s="30"/>
      <c r="U79" s="30"/>
      <c r="V79" s="188"/>
    </row>
    <row r="80" spans="2:33" ht="19.899999999999999" customHeight="1" x14ac:dyDescent="0.2">
      <c r="B80" s="30"/>
      <c r="C80" s="3279" t="s">
        <v>735</v>
      </c>
      <c r="D80" s="3279"/>
      <c r="E80" s="3279"/>
      <c r="F80" s="1115"/>
      <c r="G80" s="1115"/>
      <c r="H80" s="1115"/>
      <c r="I80" s="1115"/>
      <c r="J80" s="30"/>
      <c r="K80" s="30"/>
      <c r="L80" s="30"/>
      <c r="M80" s="30"/>
      <c r="N80" s="30"/>
      <c r="O80" s="30"/>
      <c r="P80" s="30"/>
      <c r="Q80" s="30"/>
      <c r="R80" s="30"/>
      <c r="S80" s="30"/>
      <c r="T80" s="30"/>
      <c r="U80" s="30"/>
      <c r="V80" s="188"/>
    </row>
    <row r="81" spans="2:22" ht="36.6" customHeight="1" x14ac:dyDescent="0.2">
      <c r="B81" s="30"/>
      <c r="C81" s="3290" t="str">
        <f>IF(M.oBRA!Q44="CERTO","-","ERRO")</f>
        <v>-</v>
      </c>
      <c r="D81" s="3291"/>
      <c r="E81" s="3292"/>
      <c r="F81" s="1678" t="str">
        <f>IF(C81="ERRO",C170,"-")</f>
        <v>-</v>
      </c>
      <c r="G81" s="1115"/>
      <c r="H81" s="1115">
        <f>COUNTA(C81:E84)</f>
        <v>1</v>
      </c>
      <c r="I81" s="1115">
        <f>COUNTIF(C81:C84,"CERTO")</f>
        <v>0</v>
      </c>
      <c r="J81" s="30"/>
      <c r="K81" s="30"/>
      <c r="L81" s="30"/>
      <c r="M81" s="30"/>
      <c r="N81" s="30"/>
      <c r="O81" s="30"/>
      <c r="P81" s="30"/>
      <c r="Q81" s="30"/>
      <c r="R81" s="30"/>
      <c r="S81" s="30"/>
      <c r="T81" s="30"/>
      <c r="U81" s="30"/>
      <c r="V81" s="188"/>
    </row>
    <row r="82" spans="2:22" ht="40.15" customHeight="1" thickBot="1" x14ac:dyDescent="0.25">
      <c r="B82" s="30"/>
      <c r="C82" s="3290"/>
      <c r="D82" s="3291"/>
      <c r="E82" s="3292"/>
      <c r="F82" s="1115"/>
      <c r="G82" s="1115"/>
      <c r="H82" s="1115"/>
      <c r="I82" s="1115"/>
      <c r="J82" s="30"/>
      <c r="K82" s="30"/>
      <c r="L82" s="30"/>
      <c r="M82" s="30"/>
      <c r="N82" s="30"/>
      <c r="O82" s="30"/>
      <c r="P82" s="30"/>
      <c r="Q82" s="30"/>
      <c r="R82" s="30"/>
      <c r="S82" s="30"/>
      <c r="T82" s="30"/>
      <c r="U82" s="30"/>
      <c r="V82" s="188"/>
    </row>
    <row r="83" spans="2:22" ht="35.450000000000003" customHeight="1" x14ac:dyDescent="0.2">
      <c r="B83" s="30"/>
      <c r="C83" s="3293"/>
      <c r="D83" s="3294"/>
      <c r="E83" s="3295"/>
      <c r="F83" s="1115"/>
      <c r="G83" s="1115"/>
      <c r="H83" s="1115">
        <f>COUNTA(D68:D78)</f>
        <v>11</v>
      </c>
      <c r="I83" s="1675">
        <f>COUNTIF(D68:D78,"CERTO")</f>
        <v>9</v>
      </c>
      <c r="J83" s="30"/>
      <c r="K83" s="30"/>
      <c r="L83" s="30"/>
      <c r="M83" s="30"/>
      <c r="N83" s="30"/>
      <c r="O83" s="30"/>
      <c r="P83" s="30"/>
      <c r="Q83" s="30"/>
      <c r="R83" s="30"/>
      <c r="S83" s="30"/>
      <c r="T83" s="30"/>
      <c r="U83" s="30"/>
      <c r="V83" s="188"/>
    </row>
    <row r="84" spans="2:22" ht="34.9" customHeight="1" x14ac:dyDescent="0.2">
      <c r="B84" s="30"/>
      <c r="C84" s="1677"/>
      <c r="D84" s="1677"/>
      <c r="E84" s="1677"/>
      <c r="F84" s="1676"/>
      <c r="G84" s="1676"/>
      <c r="H84" s="1676"/>
      <c r="I84" s="1676"/>
      <c r="J84" s="30"/>
      <c r="K84" s="30"/>
      <c r="L84" s="30"/>
      <c r="M84" s="30"/>
      <c r="N84" s="30"/>
      <c r="O84" s="30"/>
      <c r="P84" s="30"/>
      <c r="Q84" s="30"/>
      <c r="R84" s="30"/>
      <c r="S84" s="30"/>
      <c r="T84" s="30"/>
      <c r="U84" s="30"/>
      <c r="V84" s="188"/>
    </row>
    <row r="85" spans="2:22" ht="26.45" customHeight="1" x14ac:dyDescent="0.2">
      <c r="B85" s="30"/>
      <c r="C85" s="1303"/>
      <c r="D85" s="1114"/>
      <c r="E85" s="1114"/>
      <c r="F85" s="1115"/>
      <c r="G85" s="1115"/>
      <c r="H85" s="1115"/>
      <c r="I85" s="1115"/>
      <c r="J85" s="30"/>
      <c r="K85" s="30"/>
      <c r="L85" s="30"/>
      <c r="M85" s="30"/>
      <c r="N85" s="30"/>
      <c r="O85" s="30"/>
      <c r="P85" s="30"/>
      <c r="Q85" s="30"/>
      <c r="R85" s="30"/>
      <c r="S85" s="30"/>
      <c r="T85" s="30"/>
      <c r="U85" s="30"/>
      <c r="V85" s="188"/>
    </row>
    <row r="86" spans="2:22" ht="19.899999999999999" customHeight="1" thickBot="1" x14ac:dyDescent="0.25">
      <c r="B86" s="30"/>
      <c r="C86" s="1633" t="s">
        <v>23</v>
      </c>
      <c r="D86" s="1667"/>
      <c r="E86" s="1114"/>
      <c r="F86" s="1115"/>
      <c r="G86" s="1115"/>
      <c r="H86" s="1115"/>
      <c r="I86" s="1115"/>
      <c r="J86" s="30"/>
      <c r="K86" s="30"/>
      <c r="L86" s="30"/>
      <c r="M86" s="30"/>
      <c r="N86" s="30"/>
      <c r="O86" s="30"/>
      <c r="P86" s="30"/>
      <c r="Q86" s="30"/>
      <c r="R86" s="30"/>
      <c r="S86" s="30"/>
      <c r="T86" s="30"/>
      <c r="U86" s="30"/>
      <c r="V86" s="188"/>
    </row>
    <row r="87" spans="2:22" ht="52.15" customHeight="1" thickBot="1" x14ac:dyDescent="0.25">
      <c r="B87" s="30"/>
      <c r="C87" s="1668" t="str">
        <f>C50</f>
        <v/>
      </c>
      <c r="D87" s="1669">
        <f>'DESPESAS (Agr.)'!H61</f>
        <v>0</v>
      </c>
      <c r="E87" t="str">
        <f>IF(D87&gt;1500,"ERRO","CERTO")</f>
        <v>CERTO</v>
      </c>
      <c r="F87" t="str">
        <f>IF(E87="ERRO",$C$162,"-")</f>
        <v>-</v>
      </c>
      <c r="H87" s="1115">
        <f>COUNTA(D68:D78)</f>
        <v>11</v>
      </c>
      <c r="I87" s="1279">
        <f>COUNTIF(D68:D78,"CERTO")</f>
        <v>9</v>
      </c>
      <c r="J87" s="30"/>
      <c r="K87" s="30"/>
      <c r="L87" s="30"/>
      <c r="M87" s="30"/>
      <c r="N87" s="30"/>
      <c r="O87" s="30"/>
      <c r="P87" s="30"/>
      <c r="Q87" s="30"/>
      <c r="R87" s="30"/>
      <c r="S87" s="30"/>
      <c r="T87" s="30"/>
      <c r="U87" s="30"/>
      <c r="V87" s="188"/>
    </row>
    <row r="88" spans="2:22" ht="19.899999999999999" customHeight="1" x14ac:dyDescent="0.2">
      <c r="B88" s="30"/>
      <c r="C88" s="1668" t="str">
        <f t="shared" ref="C88:C101" si="3">C51</f>
        <v/>
      </c>
      <c r="D88" s="1669">
        <f>'DESPESAS (Agr.)'!I85</f>
        <v>0</v>
      </c>
      <c r="E88" t="str">
        <f>IF(D88&gt;1500,"ERRO","CERTO")</f>
        <v>CERTO</v>
      </c>
      <c r="F88" t="str">
        <f t="shared" ref="F88:F101" si="4">IF(E88="ERRO",$C$162,"-")</f>
        <v>-</v>
      </c>
      <c r="H88" s="1115"/>
      <c r="I88" s="1115"/>
      <c r="J88" s="206"/>
      <c r="K88" s="206"/>
      <c r="L88" s="206"/>
      <c r="M88" s="206"/>
      <c r="N88" s="206"/>
      <c r="O88" s="206"/>
      <c r="P88" s="206"/>
      <c r="Q88" s="206"/>
      <c r="R88" s="206"/>
      <c r="S88" s="206"/>
      <c r="T88" s="206"/>
      <c r="U88" s="206"/>
      <c r="V88" s="1116"/>
    </row>
    <row r="89" spans="2:22" ht="19.899999999999999" customHeight="1" x14ac:dyDescent="0.2">
      <c r="B89" s="30"/>
      <c r="C89" s="1668" t="str">
        <f t="shared" si="3"/>
        <v/>
      </c>
      <c r="D89" s="1669">
        <f>'DESPESAS (Agr.)'!I109</f>
        <v>0</v>
      </c>
      <c r="E89" t="str">
        <f>IF(D89&gt;1500,"ERRO","CERTO")</f>
        <v>CERTO</v>
      </c>
      <c r="F89" t="str">
        <f t="shared" si="4"/>
        <v>-</v>
      </c>
      <c r="H89" s="1115">
        <f ca="1">H87+H65+H48+H38+H33+H28+H43+H81</f>
        <v>45</v>
      </c>
      <c r="I89" s="1115">
        <f ca="1">I87+I65+I48+I38+I33+I28+I43+I81</f>
        <v>34</v>
      </c>
      <c r="J89" s="206"/>
      <c r="K89" s="206"/>
      <c r="L89" s="206"/>
      <c r="M89" s="206"/>
      <c r="N89" s="206"/>
      <c r="O89" s="206"/>
      <c r="P89" s="206"/>
      <c r="Q89" s="206"/>
      <c r="R89" s="206"/>
      <c r="S89" s="206"/>
      <c r="T89" s="206"/>
      <c r="U89" s="206"/>
      <c r="V89" s="1116"/>
    </row>
    <row r="90" spans="2:22" ht="19.899999999999999" customHeight="1" x14ac:dyDescent="0.2">
      <c r="B90" s="30"/>
      <c r="C90" s="1668" t="str">
        <f t="shared" si="3"/>
        <v/>
      </c>
      <c r="D90" s="1669">
        <f>'DESPESAS (Agr.)'!I133</f>
        <v>0</v>
      </c>
      <c r="E90" t="str">
        <f t="shared" ref="E90:E101" si="5">IF(D90&gt;1500,"ERRO","CERTO")</f>
        <v>CERTO</v>
      </c>
      <c r="F90" t="str">
        <f t="shared" si="4"/>
        <v>-</v>
      </c>
      <c r="H90" s="1115"/>
      <c r="I90" s="1115"/>
      <c r="J90" s="206"/>
      <c r="K90" s="206"/>
      <c r="L90" s="206"/>
      <c r="M90" s="206"/>
      <c r="N90" s="206"/>
      <c r="O90" s="206"/>
      <c r="P90" s="206"/>
      <c r="Q90" s="206"/>
      <c r="R90" s="206"/>
      <c r="S90" s="206"/>
      <c r="T90" s="206"/>
      <c r="U90" s="206"/>
      <c r="V90" s="1116"/>
    </row>
    <row r="91" spans="2:22" ht="19.899999999999999" customHeight="1" x14ac:dyDescent="0.2">
      <c r="B91" s="30"/>
      <c r="C91" s="1668" t="str">
        <f t="shared" si="3"/>
        <v/>
      </c>
      <c r="D91" s="1669">
        <f>'DESPESAS (Agr.)'!I157</f>
        <v>0</v>
      </c>
      <c r="E91" t="str">
        <f t="shared" si="5"/>
        <v>CERTO</v>
      </c>
      <c r="F91" t="str">
        <f t="shared" si="4"/>
        <v>-</v>
      </c>
      <c r="H91" s="1115"/>
      <c r="I91" s="1115"/>
      <c r="J91" s="206"/>
      <c r="K91" s="206"/>
      <c r="L91" s="206"/>
      <c r="M91" s="206"/>
      <c r="N91" s="206"/>
      <c r="O91" s="206"/>
      <c r="P91" s="206"/>
      <c r="Q91" s="206"/>
      <c r="R91" s="206"/>
      <c r="S91" s="206"/>
      <c r="T91" s="206"/>
      <c r="U91" s="206"/>
      <c r="V91" s="1116"/>
    </row>
    <row r="92" spans="2:22" ht="19.899999999999999" customHeight="1" x14ac:dyDescent="0.2">
      <c r="B92" s="30"/>
      <c r="C92" s="1668">
        <f t="shared" si="3"/>
        <v>0</v>
      </c>
      <c r="D92" s="1669">
        <f>'DESPESAS (Agr.)'!I180</f>
        <v>0</v>
      </c>
      <c r="E92" t="str">
        <f t="shared" si="5"/>
        <v>CERTO</v>
      </c>
      <c r="F92" t="str">
        <f t="shared" si="4"/>
        <v>-</v>
      </c>
      <c r="H92" s="1115"/>
      <c r="I92" s="1115"/>
      <c r="J92" s="206"/>
      <c r="K92" s="206"/>
      <c r="L92" s="206"/>
      <c r="M92" s="206"/>
      <c r="N92" s="206"/>
      <c r="O92" s="206"/>
      <c r="P92" s="206"/>
      <c r="Q92" s="206"/>
      <c r="R92" s="206"/>
      <c r="S92" s="206"/>
      <c r="T92" s="206"/>
      <c r="U92" s="206"/>
      <c r="V92" s="1116"/>
    </row>
    <row r="93" spans="2:22" ht="19.899999999999999" customHeight="1" x14ac:dyDescent="0.2">
      <c r="B93" s="30"/>
      <c r="C93" s="1668">
        <f t="shared" si="3"/>
        <v>0</v>
      </c>
      <c r="D93" s="1669">
        <f>'DESPESAS (Agr.)'!I203</f>
        <v>0</v>
      </c>
      <c r="E93" t="str">
        <f t="shared" si="5"/>
        <v>CERTO</v>
      </c>
      <c r="F93" t="str">
        <f t="shared" si="4"/>
        <v>-</v>
      </c>
      <c r="H93" s="1115"/>
      <c r="I93" s="1115"/>
      <c r="J93" s="206"/>
      <c r="K93" s="206"/>
      <c r="L93" s="206"/>
      <c r="M93" s="206"/>
      <c r="N93" s="206"/>
      <c r="O93" s="206"/>
      <c r="P93" s="206"/>
      <c r="Q93" s="206"/>
      <c r="R93" s="206"/>
      <c r="S93" s="206"/>
      <c r="T93" s="206"/>
      <c r="U93" s="206"/>
      <c r="V93" s="1116"/>
    </row>
    <row r="94" spans="2:22" ht="19.899999999999999" customHeight="1" x14ac:dyDescent="0.2">
      <c r="B94" s="30"/>
      <c r="C94" s="1668">
        <f t="shared" si="3"/>
        <v>0</v>
      </c>
      <c r="D94" s="1669">
        <f>'DESPESAS (Agr.)'!I227</f>
        <v>0</v>
      </c>
      <c r="E94" t="str">
        <f t="shared" si="5"/>
        <v>CERTO</v>
      </c>
      <c r="F94" t="str">
        <f t="shared" si="4"/>
        <v>-</v>
      </c>
      <c r="H94" s="1115"/>
      <c r="I94" s="1115"/>
      <c r="J94" s="206"/>
      <c r="K94" s="206"/>
      <c r="L94" s="206"/>
      <c r="M94" s="206"/>
      <c r="N94" s="206"/>
      <c r="O94" s="206"/>
      <c r="P94" s="206"/>
      <c r="Q94" s="206"/>
      <c r="R94" s="206"/>
      <c r="S94" s="206"/>
      <c r="T94" s="206"/>
      <c r="U94" s="206"/>
      <c r="V94" s="1116"/>
    </row>
    <row r="95" spans="2:22" ht="19.899999999999999" customHeight="1" x14ac:dyDescent="0.2">
      <c r="B95" s="30"/>
      <c r="C95" s="1668">
        <f t="shared" si="3"/>
        <v>0</v>
      </c>
      <c r="D95" s="1669">
        <f>'DESPESAS (Agr.)'!I248</f>
        <v>0</v>
      </c>
      <c r="E95" t="str">
        <f t="shared" si="5"/>
        <v>CERTO</v>
      </c>
      <c r="F95" t="str">
        <f t="shared" si="4"/>
        <v>-</v>
      </c>
      <c r="H95" s="1115"/>
      <c r="I95" s="1115"/>
      <c r="J95" s="206"/>
      <c r="K95" s="206"/>
      <c r="L95" s="206"/>
      <c r="M95" s="206"/>
      <c r="N95" s="206"/>
      <c r="O95" s="206"/>
      <c r="P95" s="206"/>
      <c r="Q95" s="206"/>
      <c r="R95" s="206"/>
      <c r="S95" s="206"/>
      <c r="T95" s="206"/>
      <c r="U95" s="206"/>
      <c r="V95" s="1116"/>
    </row>
    <row r="96" spans="2:22" ht="18" customHeight="1" x14ac:dyDescent="0.2">
      <c r="B96" s="30"/>
      <c r="C96" s="1668">
        <f t="shared" si="3"/>
        <v>0</v>
      </c>
      <c r="D96" s="1670">
        <f>-'DESPESAS (Agr.)'!I269</f>
        <v>0</v>
      </c>
      <c r="E96" t="str">
        <f t="shared" si="5"/>
        <v>CERTO</v>
      </c>
      <c r="F96" t="str">
        <f t="shared" si="4"/>
        <v>-</v>
      </c>
      <c r="H96" s="206"/>
      <c r="I96" s="206"/>
      <c r="J96" s="206"/>
      <c r="K96" s="206"/>
      <c r="L96" s="206"/>
      <c r="M96" s="206"/>
      <c r="N96" s="206"/>
      <c r="O96" s="206"/>
      <c r="P96" s="206"/>
      <c r="Q96" s="206"/>
      <c r="R96" s="206"/>
      <c r="S96" s="206"/>
      <c r="T96" s="206"/>
      <c r="U96" s="206"/>
      <c r="V96" s="1116" t="s">
        <v>207</v>
      </c>
    </row>
    <row r="97" spans="2:22" x14ac:dyDescent="0.2">
      <c r="B97" s="188"/>
      <c r="C97" s="1668" t="str">
        <f t="shared" si="3"/>
        <v>sobressemeadura</v>
      </c>
      <c r="D97" s="1671">
        <f>'DESPESAS (Agr.)'!I290</f>
        <v>0</v>
      </c>
      <c r="E97" t="str">
        <f t="shared" si="5"/>
        <v>CERTO</v>
      </c>
      <c r="F97" t="str">
        <f t="shared" si="4"/>
        <v>-</v>
      </c>
      <c r="H97" s="188"/>
      <c r="I97" s="188"/>
      <c r="J97" s="188"/>
      <c r="K97" s="188"/>
      <c r="L97" s="188"/>
      <c r="M97" s="188"/>
      <c r="N97" s="188"/>
      <c r="O97" s="188" t="s">
        <v>207</v>
      </c>
      <c r="P97" s="188" t="s">
        <v>207</v>
      </c>
      <c r="Q97" s="30"/>
      <c r="R97" s="30"/>
      <c r="S97" s="30"/>
      <c r="T97" s="30"/>
      <c r="U97" s="30"/>
      <c r="V97" s="188" t="s">
        <v>207</v>
      </c>
    </row>
    <row r="98" spans="2:22" x14ac:dyDescent="0.2">
      <c r="B98" s="188"/>
      <c r="C98" s="1668">
        <f t="shared" si="3"/>
        <v>0</v>
      </c>
      <c r="D98" s="1671">
        <f>'DESPESAS (Agr.)'!I311</f>
        <v>0</v>
      </c>
      <c r="E98" t="str">
        <f t="shared" si="5"/>
        <v>CERTO</v>
      </c>
      <c r="F98" t="str">
        <f t="shared" si="4"/>
        <v>-</v>
      </c>
      <c r="H98" s="188"/>
      <c r="I98" s="188"/>
      <c r="J98" s="188"/>
      <c r="K98" s="188"/>
      <c r="L98" s="188"/>
      <c r="M98" s="188"/>
      <c r="N98" s="188"/>
      <c r="O98" s="188" t="s">
        <v>207</v>
      </c>
      <c r="P98" s="188" t="s">
        <v>207</v>
      </c>
      <c r="Q98" s="30"/>
      <c r="R98" s="30"/>
      <c r="S98" s="30"/>
      <c r="T98" s="30"/>
      <c r="U98" s="30"/>
      <c r="V98" s="188" t="s">
        <v>207</v>
      </c>
    </row>
    <row r="99" spans="2:22" x14ac:dyDescent="0.2">
      <c r="B99" s="188"/>
      <c r="C99" s="1668">
        <f t="shared" si="3"/>
        <v>0</v>
      </c>
      <c r="D99" s="1671">
        <f>'DESPESAS (Agr.)'!I334</f>
        <v>0</v>
      </c>
      <c r="E99" t="str">
        <f t="shared" si="5"/>
        <v>CERTO</v>
      </c>
      <c r="F99" t="str">
        <f t="shared" si="4"/>
        <v>-</v>
      </c>
      <c r="H99" s="188"/>
      <c r="I99" s="188"/>
      <c r="J99" s="188"/>
      <c r="K99" s="188"/>
      <c r="L99" s="188"/>
      <c r="M99" s="188"/>
      <c r="N99" s="188"/>
      <c r="O99" s="188" t="s">
        <v>207</v>
      </c>
      <c r="P99" s="188" t="s">
        <v>207</v>
      </c>
      <c r="Q99" s="30"/>
      <c r="R99" s="30"/>
      <c r="S99" s="30"/>
      <c r="T99" s="30"/>
      <c r="U99" s="30"/>
      <c r="V99" s="188" t="s">
        <v>207</v>
      </c>
    </row>
    <row r="100" spans="2:22" x14ac:dyDescent="0.2">
      <c r="B100" s="30"/>
      <c r="C100" s="1668">
        <f t="shared" si="3"/>
        <v>0</v>
      </c>
      <c r="D100" s="1670">
        <f>'DESPESAS (Agr.)'!I359</f>
        <v>0</v>
      </c>
      <c r="E100" t="str">
        <f t="shared" si="5"/>
        <v>CERTO</v>
      </c>
      <c r="F100" t="str">
        <f t="shared" si="4"/>
        <v>-</v>
      </c>
      <c r="H100" s="30"/>
      <c r="I100" s="30"/>
      <c r="J100" s="30"/>
      <c r="K100" s="30"/>
      <c r="L100" s="30"/>
      <c r="M100" s="30"/>
      <c r="N100" s="30"/>
      <c r="O100" s="30"/>
      <c r="P100" s="30"/>
      <c r="Q100" s="30"/>
      <c r="R100" s="30"/>
      <c r="S100" s="30"/>
      <c r="T100" s="30"/>
      <c r="U100" s="30"/>
    </row>
    <row r="101" spans="2:22" ht="13.15" customHeight="1" x14ac:dyDescent="0.2">
      <c r="B101" s="30"/>
      <c r="C101" s="1668">
        <f t="shared" si="3"/>
        <v>0</v>
      </c>
      <c r="D101" s="1670">
        <f>'DESPESAS (Agr.)'!I384</f>
        <v>0</v>
      </c>
      <c r="E101" t="str">
        <f t="shared" si="5"/>
        <v>CERTO</v>
      </c>
      <c r="F101" t="str">
        <f t="shared" si="4"/>
        <v>-</v>
      </c>
      <c r="H101" s="30"/>
      <c r="I101" s="30"/>
      <c r="J101" s="30"/>
      <c r="K101" s="30"/>
      <c r="L101" s="30"/>
      <c r="M101" s="30"/>
      <c r="N101" s="30"/>
      <c r="O101" s="30"/>
      <c r="P101" s="30"/>
      <c r="Q101" s="30"/>
      <c r="R101" s="30"/>
      <c r="S101" s="30"/>
      <c r="T101" s="30"/>
      <c r="U101" s="30"/>
    </row>
    <row r="102" spans="2:22" ht="13.15" customHeight="1" x14ac:dyDescent="0.2">
      <c r="B102" s="30"/>
      <c r="C102" s="1668"/>
      <c r="D102" s="1670"/>
      <c r="H102" s="30"/>
      <c r="I102" s="30"/>
      <c r="J102" s="30"/>
      <c r="K102" s="30"/>
      <c r="L102" s="30"/>
      <c r="M102" s="30"/>
      <c r="N102" s="30"/>
      <c r="O102" s="30"/>
      <c r="P102" s="30"/>
      <c r="Q102" s="30"/>
      <c r="R102" s="30"/>
      <c r="S102" s="30"/>
      <c r="T102" s="30"/>
      <c r="U102" s="30"/>
    </row>
    <row r="103" spans="2:22" ht="13.15" customHeight="1" x14ac:dyDescent="0.2">
      <c r="B103" s="30"/>
      <c r="C103" s="1668"/>
      <c r="D103" s="1670"/>
      <c r="E103" s="3289"/>
      <c r="F103" s="3289"/>
      <c r="G103" s="3289"/>
      <c r="H103" s="30"/>
      <c r="I103" s="30"/>
      <c r="J103" s="30"/>
      <c r="K103" s="30"/>
      <c r="L103" s="30"/>
      <c r="M103" s="30"/>
      <c r="N103" s="30"/>
      <c r="O103" s="30"/>
      <c r="P103" s="30"/>
      <c r="Q103" s="30"/>
      <c r="R103" s="30"/>
      <c r="S103" s="30"/>
      <c r="T103" s="30"/>
      <c r="U103" s="30"/>
    </row>
    <row r="104" spans="2:22" ht="13.15" customHeight="1" x14ac:dyDescent="0.2">
      <c r="B104" s="30"/>
      <c r="C104" s="1668"/>
      <c r="D104" s="1670"/>
      <c r="E104" s="3289"/>
      <c r="F104" s="3289"/>
      <c r="G104" s="3289"/>
      <c r="H104" s="30"/>
      <c r="I104" s="30"/>
      <c r="J104" s="30"/>
      <c r="K104" s="30"/>
      <c r="L104" s="30"/>
      <c r="M104" s="30"/>
      <c r="N104" s="30"/>
      <c r="O104" s="30"/>
      <c r="P104" s="30"/>
      <c r="Q104" s="30"/>
      <c r="R104" s="30"/>
      <c r="S104" s="30"/>
      <c r="T104" s="30"/>
      <c r="U104" s="30"/>
    </row>
    <row r="105" spans="2:22" ht="13.15" customHeight="1" x14ac:dyDescent="0.2">
      <c r="B105" s="30"/>
      <c r="C105" s="1668"/>
      <c r="D105" s="1670"/>
      <c r="E105" s="3289"/>
      <c r="F105" s="3289"/>
      <c r="G105" s="3289"/>
      <c r="H105" s="30"/>
      <c r="I105" s="30"/>
      <c r="J105" s="30"/>
      <c r="K105" s="30"/>
      <c r="L105" s="30"/>
      <c r="M105" s="30"/>
      <c r="N105" s="30"/>
      <c r="O105" s="30"/>
      <c r="P105" s="30"/>
      <c r="Q105" s="30"/>
      <c r="R105" s="30"/>
      <c r="S105" s="30"/>
      <c r="T105" s="30"/>
      <c r="U105" s="30"/>
    </row>
    <row r="106" spans="2:22" ht="13.15" customHeight="1" x14ac:dyDescent="0.2">
      <c r="B106" s="30"/>
      <c r="C106" s="1668"/>
      <c r="D106" s="1670"/>
      <c r="E106" s="3289"/>
      <c r="F106" s="3289"/>
      <c r="G106" s="3289"/>
      <c r="H106" s="30"/>
      <c r="I106" s="30"/>
      <c r="J106" s="30"/>
      <c r="K106" s="30"/>
      <c r="L106" s="30"/>
      <c r="M106" s="30"/>
      <c r="N106" s="30"/>
      <c r="O106" s="30"/>
      <c r="P106" s="30"/>
      <c r="Q106" s="30"/>
      <c r="R106" s="30"/>
      <c r="S106" s="30"/>
      <c r="T106" s="30"/>
      <c r="U106" s="30"/>
    </row>
    <row r="107" spans="2:22" ht="13.15" customHeight="1" x14ac:dyDescent="0.2">
      <c r="B107" s="30"/>
      <c r="C107" s="1668"/>
      <c r="D107" s="1670"/>
      <c r="E107" s="3289"/>
      <c r="F107" s="3289"/>
      <c r="G107" s="3289"/>
      <c r="H107" s="30"/>
      <c r="I107" s="30"/>
      <c r="J107" s="30"/>
      <c r="K107" s="30"/>
      <c r="L107" s="30"/>
      <c r="M107" s="30"/>
      <c r="N107" s="30"/>
      <c r="O107" s="30"/>
      <c r="P107" s="30"/>
      <c r="Q107" s="30"/>
      <c r="R107" s="30"/>
      <c r="S107" s="30"/>
      <c r="T107" s="30"/>
      <c r="U107" s="30"/>
    </row>
    <row r="108" spans="2:22" ht="13.15" customHeight="1" x14ac:dyDescent="0.2">
      <c r="B108" s="30"/>
      <c r="C108" s="1668"/>
      <c r="D108" s="1670"/>
      <c r="E108" s="3289"/>
      <c r="F108" s="3289"/>
      <c r="G108" s="3289"/>
      <c r="H108" s="30"/>
      <c r="I108" s="30"/>
      <c r="J108" s="30"/>
      <c r="K108" s="30"/>
      <c r="L108" s="30"/>
      <c r="M108" s="30"/>
      <c r="N108" s="30"/>
      <c r="O108" s="30"/>
      <c r="P108" s="30"/>
      <c r="Q108" s="30"/>
      <c r="R108" s="30"/>
      <c r="S108" s="30"/>
      <c r="T108" s="30"/>
      <c r="U108" s="30"/>
    </row>
    <row r="109" spans="2:22" x14ac:dyDescent="0.2">
      <c r="B109" s="30"/>
      <c r="C109" s="1668"/>
      <c r="D109" s="1670"/>
      <c r="E109" s="3289"/>
      <c r="F109" s="3289"/>
      <c r="G109" s="3289"/>
      <c r="H109" s="30"/>
      <c r="I109" s="30"/>
      <c r="J109" s="30"/>
      <c r="K109" s="30"/>
      <c r="L109" s="30"/>
      <c r="M109" s="30"/>
      <c r="N109" s="30"/>
      <c r="O109" s="30"/>
      <c r="P109" s="30"/>
      <c r="Q109" s="30"/>
      <c r="R109" s="30"/>
      <c r="S109" s="30"/>
      <c r="T109" s="30"/>
      <c r="U109" s="30"/>
    </row>
    <row r="110" spans="2:22" x14ac:dyDescent="0.2">
      <c r="B110" s="30"/>
      <c r="C110" s="1112"/>
      <c r="D110" s="30"/>
      <c r="E110" s="30"/>
      <c r="F110" s="30"/>
      <c r="G110" s="30"/>
      <c r="H110" s="30"/>
      <c r="I110" s="30"/>
      <c r="J110" s="30"/>
      <c r="K110" s="30"/>
      <c r="L110" s="30"/>
      <c r="M110" s="30"/>
      <c r="N110" s="30"/>
      <c r="O110" s="30"/>
      <c r="P110" s="30"/>
      <c r="Q110" s="30"/>
      <c r="R110" s="30"/>
      <c r="S110" s="30"/>
      <c r="T110" s="30"/>
      <c r="U110" s="30"/>
    </row>
    <row r="111" spans="2:22" x14ac:dyDescent="0.2">
      <c r="B111" s="30"/>
      <c r="C111" s="1112"/>
      <c r="D111" s="30"/>
      <c r="E111" s="30"/>
      <c r="F111" s="30"/>
      <c r="G111" s="30"/>
      <c r="H111" s="30"/>
      <c r="I111" s="30"/>
      <c r="J111" s="30"/>
      <c r="K111" s="30"/>
      <c r="L111" s="30"/>
      <c r="M111" s="30"/>
      <c r="N111" s="30"/>
      <c r="O111" s="30"/>
      <c r="P111" s="30"/>
      <c r="Q111" s="30"/>
      <c r="R111" s="30"/>
      <c r="S111" s="30"/>
      <c r="T111" s="30"/>
      <c r="U111" s="30"/>
    </row>
    <row r="112" spans="2:22" x14ac:dyDescent="0.2">
      <c r="B112" s="30"/>
      <c r="C112" s="1112"/>
      <c r="D112" s="30"/>
      <c r="E112" s="30"/>
      <c r="F112" s="30"/>
      <c r="G112" s="30"/>
      <c r="H112" s="30"/>
      <c r="I112" s="30"/>
      <c r="J112" s="30"/>
      <c r="K112" s="30"/>
      <c r="L112" s="30"/>
      <c r="M112" s="30"/>
      <c r="N112" s="30"/>
      <c r="O112" s="30"/>
      <c r="P112" s="30"/>
      <c r="Q112" s="30"/>
      <c r="R112" s="30"/>
      <c r="S112" s="30"/>
      <c r="T112" s="30"/>
      <c r="U112" s="30"/>
    </row>
    <row r="113" spans="2:21" x14ac:dyDescent="0.2">
      <c r="B113" s="30"/>
      <c r="C113" s="1112"/>
      <c r="D113" s="30"/>
      <c r="E113" s="30"/>
      <c r="F113" s="30"/>
      <c r="G113" s="30"/>
      <c r="H113" s="30"/>
      <c r="I113" s="30"/>
      <c r="J113" s="30"/>
      <c r="K113" s="30"/>
      <c r="L113" s="30"/>
      <c r="M113" s="30"/>
      <c r="N113" s="30"/>
      <c r="O113" s="30"/>
      <c r="P113" s="30"/>
      <c r="Q113" s="30"/>
      <c r="R113" s="30"/>
      <c r="S113" s="30"/>
      <c r="T113" s="30"/>
      <c r="U113" s="30"/>
    </row>
    <row r="114" spans="2:21" x14ac:dyDescent="0.2">
      <c r="B114" s="30"/>
      <c r="C114" s="1112"/>
      <c r="D114" s="30"/>
      <c r="E114" s="30"/>
      <c r="F114" s="30"/>
      <c r="G114" s="30"/>
      <c r="H114" s="30"/>
      <c r="I114" s="30"/>
      <c r="J114" s="30"/>
      <c r="K114" s="30"/>
      <c r="L114" s="30"/>
      <c r="M114" s="30"/>
      <c r="N114" s="30"/>
      <c r="O114" s="30"/>
      <c r="P114" s="30"/>
      <c r="Q114" s="30"/>
      <c r="R114" s="30"/>
      <c r="S114" s="30"/>
      <c r="T114" s="30"/>
      <c r="U114" s="30"/>
    </row>
    <row r="115" spans="2:21" x14ac:dyDescent="0.2">
      <c r="B115" s="30"/>
      <c r="C115" s="1112"/>
      <c r="D115" s="30"/>
      <c r="E115" s="30"/>
      <c r="F115" s="30"/>
      <c r="G115" s="30"/>
      <c r="H115" s="30"/>
      <c r="I115" s="30"/>
      <c r="J115" s="30"/>
      <c r="K115" s="30"/>
      <c r="L115" s="30"/>
      <c r="M115" s="30"/>
      <c r="N115" s="30"/>
      <c r="O115" s="30"/>
      <c r="P115" s="30"/>
      <c r="Q115" s="30"/>
      <c r="R115" s="30"/>
      <c r="S115" s="30"/>
      <c r="T115" s="30"/>
      <c r="U115" s="30"/>
    </row>
    <row r="116" spans="2:21" x14ac:dyDescent="0.2">
      <c r="B116" s="30"/>
      <c r="C116" s="1112"/>
      <c r="D116" s="30"/>
      <c r="E116" s="30"/>
      <c r="F116" s="30"/>
      <c r="G116" s="30"/>
      <c r="H116" s="30"/>
      <c r="I116" s="30"/>
      <c r="J116" s="30"/>
      <c r="K116" s="30"/>
      <c r="L116" s="30"/>
      <c r="M116" s="30"/>
      <c r="N116" s="30"/>
      <c r="O116" s="30"/>
      <c r="P116" s="30"/>
      <c r="Q116" s="30"/>
      <c r="R116" s="30"/>
      <c r="S116" s="30"/>
      <c r="T116" s="30"/>
      <c r="U116" s="30"/>
    </row>
    <row r="117" spans="2:21" x14ac:dyDescent="0.2">
      <c r="B117" s="30"/>
      <c r="C117" s="1112"/>
      <c r="D117" s="30"/>
      <c r="E117" s="30"/>
      <c r="F117" s="30"/>
      <c r="G117" s="30"/>
      <c r="H117" s="30"/>
      <c r="I117" s="30"/>
      <c r="J117" s="30"/>
      <c r="K117" s="30"/>
      <c r="L117" s="30"/>
      <c r="M117" s="30"/>
      <c r="N117" s="30"/>
      <c r="O117" s="30"/>
      <c r="P117" s="30"/>
      <c r="Q117" s="30"/>
      <c r="R117" s="30"/>
      <c r="S117" s="30"/>
      <c r="T117" s="30"/>
      <c r="U117" s="30"/>
    </row>
    <row r="118" spans="2:21" x14ac:dyDescent="0.2">
      <c r="B118" s="30"/>
      <c r="C118" s="1112"/>
      <c r="D118" s="30"/>
      <c r="E118" s="30"/>
      <c r="F118" s="30"/>
      <c r="G118" s="30"/>
      <c r="H118" s="30"/>
      <c r="I118" s="30"/>
      <c r="J118" s="30"/>
      <c r="K118" s="30"/>
      <c r="L118" s="30"/>
      <c r="M118" s="30"/>
      <c r="N118" s="30"/>
      <c r="O118" s="30"/>
      <c r="P118" s="30"/>
      <c r="Q118" s="30"/>
      <c r="R118" s="30"/>
      <c r="S118" s="30"/>
      <c r="T118" s="30"/>
      <c r="U118" s="30"/>
    </row>
    <row r="119" spans="2:21" x14ac:dyDescent="0.2">
      <c r="B119" s="30"/>
      <c r="C119" s="1112"/>
      <c r="D119" s="30"/>
      <c r="E119" s="30"/>
      <c r="F119" s="30"/>
      <c r="G119" s="30"/>
      <c r="H119" s="30"/>
      <c r="I119" s="30"/>
      <c r="J119" s="30"/>
      <c r="K119" s="30"/>
      <c r="L119" s="30"/>
      <c r="M119" s="30"/>
      <c r="N119" s="30"/>
      <c r="O119" s="30"/>
      <c r="P119" s="30"/>
      <c r="Q119" s="30"/>
      <c r="R119" s="30"/>
      <c r="S119" s="30"/>
      <c r="T119" s="30"/>
      <c r="U119" s="30"/>
    </row>
    <row r="120" spans="2:21" x14ac:dyDescent="0.2">
      <c r="B120" s="30"/>
      <c r="C120" s="1112"/>
      <c r="D120" s="30"/>
      <c r="E120" s="30"/>
      <c r="F120" s="30"/>
      <c r="G120" s="30"/>
      <c r="H120" s="30"/>
      <c r="I120" s="30"/>
      <c r="J120" s="30"/>
      <c r="K120" s="30"/>
      <c r="L120" s="30"/>
      <c r="M120" s="30"/>
      <c r="N120" s="30"/>
      <c r="O120" s="30"/>
      <c r="P120" s="30"/>
      <c r="Q120" s="30"/>
      <c r="R120" s="30"/>
      <c r="S120" s="30"/>
      <c r="T120" s="30"/>
      <c r="U120" s="30"/>
    </row>
    <row r="121" spans="2:21" x14ac:dyDescent="0.2">
      <c r="B121" s="30"/>
      <c r="C121" s="1112"/>
      <c r="D121" s="30"/>
      <c r="E121" s="30"/>
      <c r="F121" s="30"/>
      <c r="G121" s="30"/>
      <c r="H121" s="30"/>
      <c r="I121" s="30"/>
      <c r="J121" s="30"/>
      <c r="K121" s="30"/>
      <c r="L121" s="30"/>
      <c r="M121" s="30"/>
      <c r="N121" s="30"/>
      <c r="O121" s="30"/>
      <c r="P121" s="30"/>
      <c r="Q121" s="30"/>
      <c r="R121" s="30"/>
      <c r="S121" s="30"/>
      <c r="T121" s="30"/>
      <c r="U121" s="30"/>
    </row>
    <row r="122" spans="2:21" x14ac:dyDescent="0.2">
      <c r="B122" s="30"/>
      <c r="C122" s="1112"/>
      <c r="D122" s="30"/>
      <c r="E122" s="30"/>
      <c r="F122" s="30"/>
      <c r="G122" s="30"/>
      <c r="H122" s="30"/>
      <c r="I122" s="30"/>
      <c r="J122" s="30"/>
      <c r="K122" s="30"/>
      <c r="L122" s="30"/>
      <c r="M122" s="30"/>
      <c r="N122" s="30"/>
      <c r="O122" s="30"/>
      <c r="P122" s="30"/>
      <c r="Q122" s="30"/>
      <c r="R122" s="30"/>
      <c r="S122" s="30"/>
      <c r="T122" s="30"/>
      <c r="U122" s="30"/>
    </row>
    <row r="123" spans="2:21" x14ac:dyDescent="0.2">
      <c r="B123" s="30"/>
      <c r="C123" s="1112"/>
      <c r="D123" s="30"/>
      <c r="E123" s="30"/>
      <c r="F123" s="30"/>
      <c r="G123" s="30"/>
      <c r="H123" s="30"/>
      <c r="I123" s="30"/>
      <c r="J123" s="30"/>
      <c r="K123" s="30"/>
      <c r="L123" s="30"/>
      <c r="M123" s="30"/>
      <c r="N123" s="30"/>
      <c r="O123" s="30"/>
      <c r="P123" s="30"/>
      <c r="Q123" s="30"/>
      <c r="R123" s="30"/>
      <c r="S123" s="30"/>
      <c r="T123" s="30"/>
      <c r="U123" s="30"/>
    </row>
    <row r="124" spans="2:21" x14ac:dyDescent="0.2">
      <c r="B124" s="30"/>
      <c r="C124" s="1112"/>
      <c r="D124" s="30"/>
      <c r="E124" s="30"/>
      <c r="F124" s="30"/>
      <c r="G124" s="30"/>
      <c r="H124" s="30"/>
      <c r="I124" s="30"/>
      <c r="J124" s="30"/>
      <c r="K124" s="30"/>
      <c r="L124" s="30"/>
      <c r="M124" s="30"/>
      <c r="N124" s="30"/>
      <c r="O124" s="30"/>
      <c r="P124" s="30"/>
      <c r="Q124" s="30"/>
      <c r="R124" s="30"/>
      <c r="S124" s="30"/>
      <c r="T124" s="30"/>
      <c r="U124" s="30"/>
    </row>
    <row r="155" spans="3:3" x14ac:dyDescent="0.2">
      <c r="C155" s="30" t="s">
        <v>731</v>
      </c>
    </row>
    <row r="156" spans="3:3" x14ac:dyDescent="0.2">
      <c r="C156" s="30" t="s">
        <v>732</v>
      </c>
    </row>
    <row r="157" spans="3:3" x14ac:dyDescent="0.2">
      <c r="C157" t="s">
        <v>733</v>
      </c>
    </row>
    <row r="159" spans="3:3" x14ac:dyDescent="0.2">
      <c r="C159" s="30" t="s">
        <v>734</v>
      </c>
    </row>
    <row r="160" spans="3:3" x14ac:dyDescent="0.2">
      <c r="C160" t="s">
        <v>736</v>
      </c>
    </row>
    <row r="162" spans="3:4" x14ac:dyDescent="0.2">
      <c r="C162" t="s">
        <v>737</v>
      </c>
    </row>
    <row r="164" spans="3:4" x14ac:dyDescent="0.2">
      <c r="C164" t="s">
        <v>742</v>
      </c>
    </row>
    <row r="165" spans="3:4" ht="13.5" thickBot="1" x14ac:dyDescent="0.25"/>
    <row r="166" spans="3:4" ht="13.5" thickBot="1" x14ac:dyDescent="0.25">
      <c r="C166" s="1674">
        <f>SOLO!I22+SOLO!I23</f>
        <v>0</v>
      </c>
      <c r="D166" t="s">
        <v>743</v>
      </c>
    </row>
    <row r="168" spans="3:4" x14ac:dyDescent="0.2">
      <c r="C168" t="s">
        <v>744</v>
      </c>
    </row>
    <row r="170" spans="3:4" x14ac:dyDescent="0.2">
      <c r="C170" t="s">
        <v>745</v>
      </c>
    </row>
    <row r="173" spans="3:4" x14ac:dyDescent="0.2">
      <c r="C173" t="s">
        <v>746</v>
      </c>
    </row>
  </sheetData>
  <sheetProtection password="85A7" sheet="1" objects="1"/>
  <mergeCells count="53">
    <mergeCell ref="C81:E81"/>
    <mergeCell ref="C82:E82"/>
    <mergeCell ref="C83:E83"/>
    <mergeCell ref="E107:G107"/>
    <mergeCell ref="E108:G108"/>
    <mergeCell ref="E109:G109"/>
    <mergeCell ref="E103:G103"/>
    <mergeCell ref="E104:G104"/>
    <mergeCell ref="E105:G105"/>
    <mergeCell ref="E106:G106"/>
    <mergeCell ref="B34:C34"/>
    <mergeCell ref="B40:B42"/>
    <mergeCell ref="B44:D44"/>
    <mergeCell ref="C80:E80"/>
    <mergeCell ref="B35:B37"/>
    <mergeCell ref="E40:I40"/>
    <mergeCell ref="E41:I41"/>
    <mergeCell ref="E42:I42"/>
    <mergeCell ref="B39:C39"/>
    <mergeCell ref="F50:I50"/>
    <mergeCell ref="E46:I46"/>
    <mergeCell ref="E47:I47"/>
    <mergeCell ref="E45:I45"/>
    <mergeCell ref="E44:I44"/>
    <mergeCell ref="F55:I55"/>
    <mergeCell ref="F56:I56"/>
    <mergeCell ref="B7:I7"/>
    <mergeCell ref="E30:I30"/>
    <mergeCell ref="B30:B32"/>
    <mergeCell ref="E31:I31"/>
    <mergeCell ref="E32:I32"/>
    <mergeCell ref="E29:I29"/>
    <mergeCell ref="D9:I9"/>
    <mergeCell ref="D14:I14"/>
    <mergeCell ref="D8:I8"/>
    <mergeCell ref="B29:C29"/>
    <mergeCell ref="D10:I10"/>
    <mergeCell ref="D11:I11"/>
    <mergeCell ref="D12:I12"/>
    <mergeCell ref="D13:I13"/>
    <mergeCell ref="F57:I57"/>
    <mergeCell ref="F58:I58"/>
    <mergeCell ref="F51:I51"/>
    <mergeCell ref="F52:I52"/>
    <mergeCell ref="F53:I53"/>
    <mergeCell ref="F54:I54"/>
    <mergeCell ref="C66:D66"/>
    <mergeCell ref="F63:I63"/>
    <mergeCell ref="F64:I64"/>
    <mergeCell ref="F59:I59"/>
    <mergeCell ref="F60:I60"/>
    <mergeCell ref="F61:I61"/>
    <mergeCell ref="F62:I62"/>
  </mergeCells>
  <phoneticPr fontId="50" type="noConversion"/>
  <pageMargins left="0.78740157499999996" right="0.78740157499999996" top="0.984251969" bottom="0.984251969" header="0.49212598499999999" footer="0.49212598499999999"/>
  <pageSetup paperSize="9" scale="48" orientation="portrait" r:id="rId1"/>
  <headerFooter alignWithMargins="0"/>
  <rowBreaks count="1" manualBreakCount="1">
    <brk id="88" max="16383" man="1"/>
  </rowBreaks>
  <colBreaks count="1" manualBreakCount="1">
    <brk id="22" max="114"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7"/>
  <dimension ref="A1:W98"/>
  <sheetViews>
    <sheetView zoomScale="85" zoomScaleNormal="85" zoomScaleSheetLayoutView="50" workbookViewId="0">
      <selection activeCell="D4" sqref="D4"/>
    </sheetView>
  </sheetViews>
  <sheetFormatPr defaultColWidth="8.85546875" defaultRowHeight="12.75" x14ac:dyDescent="0.2"/>
  <cols>
    <col min="1" max="9" width="8.85546875" style="1214"/>
    <col min="10" max="10" width="7.42578125" style="1214" customWidth="1"/>
    <col min="11" max="12" width="8.85546875" style="1214"/>
    <col min="13" max="13" width="17.7109375" style="1214" customWidth="1"/>
    <col min="14" max="14" width="17.140625" style="1214" customWidth="1"/>
    <col min="15" max="15" width="7.85546875" style="1214" customWidth="1"/>
    <col min="16" max="17" width="15.5703125" style="1214" customWidth="1"/>
    <col min="18" max="18" width="7.42578125" style="1214" customWidth="1"/>
    <col min="19" max="19" width="16.5703125" style="1214" customWidth="1"/>
    <col min="20" max="20" width="14" style="1214" customWidth="1"/>
    <col min="21" max="16384" width="8.85546875" style="1214"/>
  </cols>
  <sheetData>
    <row r="1" spans="1:22" ht="13.5" thickBot="1" x14ac:dyDescent="0.25"/>
    <row r="2" spans="1:22" ht="16.5" thickBot="1" x14ac:dyDescent="0.3">
      <c r="A2" s="3296" t="str">
        <f>CADASTRO!C4</f>
        <v>Digitar o nome</v>
      </c>
      <c r="B2" s="3297"/>
      <c r="C2" s="3298"/>
      <c r="F2" s="3299">
        <f>CADASTRO!C12</f>
        <v>44013</v>
      </c>
      <c r="G2" s="3300"/>
      <c r="H2" s="3300"/>
      <c r="I2" s="3300"/>
      <c r="J2" s="3301"/>
      <c r="V2" s="1756" t="s">
        <v>56</v>
      </c>
    </row>
    <row r="3" spans="1:22" ht="15.75" x14ac:dyDescent="0.25">
      <c r="A3" s="1746"/>
      <c r="B3" s="1747"/>
      <c r="C3" s="1747"/>
      <c r="D3" s="1748"/>
      <c r="E3" s="1748"/>
      <c r="F3" s="1749"/>
      <c r="G3" s="1749"/>
      <c r="H3" s="1749"/>
      <c r="I3" s="1749"/>
      <c r="J3" s="1749"/>
      <c r="K3" s="1748"/>
      <c r="L3" s="1748"/>
      <c r="M3" s="1748"/>
      <c r="N3" s="1748"/>
      <c r="O3" s="1748"/>
      <c r="P3" s="1748"/>
      <c r="Q3" s="1748"/>
      <c r="R3" s="1748"/>
      <c r="S3" s="1748"/>
      <c r="T3" s="1748"/>
      <c r="U3" s="1750"/>
      <c r="V3" s="1756" t="s">
        <v>56</v>
      </c>
    </row>
    <row r="4" spans="1:22" x14ac:dyDescent="0.2">
      <c r="A4" s="1400"/>
      <c r="B4" s="70"/>
      <c r="C4" s="70"/>
      <c r="D4" s="70"/>
      <c r="E4" s="70"/>
      <c r="F4" s="70"/>
      <c r="G4" s="70"/>
      <c r="H4" s="70"/>
      <c r="I4" s="70"/>
      <c r="J4" s="70"/>
      <c r="K4" s="70"/>
      <c r="L4" s="70"/>
      <c r="M4" s="70"/>
      <c r="N4" s="70"/>
      <c r="O4" s="70"/>
      <c r="P4" s="70"/>
      <c r="Q4" s="70"/>
      <c r="R4" s="70"/>
      <c r="S4" s="70"/>
      <c r="T4" s="70"/>
      <c r="U4" s="1401"/>
      <c r="V4" s="1756" t="s">
        <v>56</v>
      </c>
    </row>
    <row r="5" spans="1:22" x14ac:dyDescent="0.2">
      <c r="A5" s="1400"/>
      <c r="B5" s="70"/>
      <c r="C5" s="70"/>
      <c r="D5" s="70"/>
      <c r="E5" s="70"/>
      <c r="F5" s="70"/>
      <c r="G5" s="70"/>
      <c r="H5" s="70"/>
      <c r="I5" s="70"/>
      <c r="J5" s="70"/>
      <c r="K5" s="70"/>
      <c r="L5" s="70"/>
      <c r="M5" s="70"/>
      <c r="N5" s="70"/>
      <c r="O5" s="70"/>
      <c r="P5" s="70"/>
      <c r="Q5" s="70"/>
      <c r="R5" s="70"/>
      <c r="S5" s="70"/>
      <c r="T5" s="70"/>
      <c r="U5" s="1401"/>
      <c r="V5" s="1756" t="s">
        <v>56</v>
      </c>
    </row>
    <row r="6" spans="1:22" x14ac:dyDescent="0.2">
      <c r="A6" s="1400"/>
      <c r="B6" s="70"/>
      <c r="C6" s="70"/>
      <c r="D6" s="70"/>
      <c r="E6" s="70"/>
      <c r="F6" s="70"/>
      <c r="G6" s="70"/>
      <c r="H6" s="70"/>
      <c r="I6" s="70"/>
      <c r="J6" s="70"/>
      <c r="K6" s="70"/>
      <c r="L6" s="70"/>
      <c r="M6" s="70"/>
      <c r="N6" s="70"/>
      <c r="O6" s="70"/>
      <c r="P6" s="70"/>
      <c r="Q6" s="70"/>
      <c r="R6" s="70"/>
      <c r="S6" s="70"/>
      <c r="T6" s="70"/>
      <c r="U6" s="1401"/>
      <c r="V6" s="1756" t="s">
        <v>56</v>
      </c>
    </row>
    <row r="7" spans="1:22" ht="14.45" customHeight="1" x14ac:dyDescent="0.2">
      <c r="A7" s="1400"/>
      <c r="B7" s="70"/>
      <c r="C7" s="70"/>
      <c r="D7" s="70"/>
      <c r="E7" s="70"/>
      <c r="F7" s="70"/>
      <c r="G7" s="70"/>
      <c r="H7" s="70"/>
      <c r="I7" s="70"/>
      <c r="J7" s="70"/>
      <c r="K7" s="70"/>
      <c r="L7" s="70"/>
      <c r="M7" s="70"/>
      <c r="N7" s="70"/>
      <c r="O7" s="70"/>
      <c r="P7" s="70"/>
      <c r="Q7" s="70"/>
      <c r="R7" s="70"/>
      <c r="S7" s="70"/>
      <c r="T7" s="70"/>
      <c r="U7" s="1401"/>
      <c r="V7" s="1756" t="s">
        <v>56</v>
      </c>
    </row>
    <row r="8" spans="1:22" ht="37.15" customHeight="1" thickBot="1" x14ac:dyDescent="0.25">
      <c r="A8" s="1400"/>
      <c r="B8" s="70"/>
      <c r="C8" s="70"/>
      <c r="D8" s="70"/>
      <c r="E8" s="70"/>
      <c r="F8" s="70"/>
      <c r="G8" s="70"/>
      <c r="H8" s="70"/>
      <c r="I8" s="70"/>
      <c r="J8" s="70"/>
      <c r="K8" s="3309" t="s">
        <v>676</v>
      </c>
      <c r="L8" s="3310"/>
      <c r="M8" s="3310"/>
      <c r="N8" s="3310"/>
      <c r="O8" s="3310"/>
      <c r="P8" s="3310"/>
      <c r="Q8" s="3310"/>
      <c r="R8" s="3310"/>
      <c r="S8" s="3310"/>
      <c r="T8" s="3310"/>
      <c r="U8" s="1401"/>
      <c r="V8" s="1756" t="s">
        <v>56</v>
      </c>
    </row>
    <row r="9" spans="1:22" x14ac:dyDescent="0.2">
      <c r="A9" s="1400"/>
      <c r="B9" s="70"/>
      <c r="C9" s="70"/>
      <c r="D9" s="70"/>
      <c r="E9" s="70"/>
      <c r="F9" s="70"/>
      <c r="G9" s="70"/>
      <c r="H9" s="70"/>
      <c r="I9" s="70"/>
      <c r="J9" s="70"/>
      <c r="K9" s="3311" t="s">
        <v>542</v>
      </c>
      <c r="L9" s="3312"/>
      <c r="M9" s="3315" t="s">
        <v>677</v>
      </c>
      <c r="N9" s="3315"/>
      <c r="O9" s="3315"/>
      <c r="P9" s="3315"/>
      <c r="Q9" s="3306" t="s">
        <v>678</v>
      </c>
      <c r="R9" s="3307"/>
      <c r="S9" s="3307"/>
      <c r="T9" s="3308"/>
      <c r="U9" s="1401"/>
      <c r="V9" s="1756" t="s">
        <v>56</v>
      </c>
    </row>
    <row r="10" spans="1:22" ht="26.25" x14ac:dyDescent="0.25">
      <c r="A10" s="1400"/>
      <c r="B10" s="70"/>
      <c r="C10" s="70"/>
      <c r="D10" s="70"/>
      <c r="E10" s="70"/>
      <c r="F10" s="70"/>
      <c r="G10" s="70"/>
      <c r="H10" s="70"/>
      <c r="I10" s="70"/>
      <c r="J10" s="70"/>
      <c r="K10" s="3313"/>
      <c r="L10" s="3314"/>
      <c r="M10" s="1387" t="s">
        <v>680</v>
      </c>
      <c r="N10" s="1388" t="s">
        <v>784</v>
      </c>
      <c r="O10" s="1388" t="s">
        <v>88</v>
      </c>
      <c r="P10" s="1389" t="s">
        <v>679</v>
      </c>
      <c r="Q10" s="1387" t="s">
        <v>680</v>
      </c>
      <c r="R10" s="1387" t="s">
        <v>88</v>
      </c>
      <c r="S10" s="1388" t="s">
        <v>682</v>
      </c>
      <c r="T10" s="1402" t="s">
        <v>679</v>
      </c>
      <c r="U10" s="1401"/>
      <c r="V10" s="1756" t="s">
        <v>56</v>
      </c>
    </row>
    <row r="11" spans="1:22" x14ac:dyDescent="0.2">
      <c r="A11" s="1400"/>
      <c r="B11" s="70"/>
      <c r="C11" s="70"/>
      <c r="D11" s="70"/>
      <c r="E11" s="70"/>
      <c r="F11" s="70"/>
      <c r="G11" s="70"/>
      <c r="H11" s="70"/>
      <c r="I11" s="70"/>
      <c r="J11" s="70"/>
      <c r="K11" s="1385" t="s">
        <v>681</v>
      </c>
      <c r="L11" s="1386"/>
      <c r="M11" s="1393" t="e">
        <f>'F. resultad econ. glob. detalh'!B21</f>
        <v>#VALUE!</v>
      </c>
      <c r="N11" s="1395" t="e">
        <f>M11/((SOLO!I43+SOLO!K43)/2)</f>
        <v>#VALUE!</v>
      </c>
      <c r="O11" s="1396" t="e">
        <f>M11/$M$11</f>
        <v>#VALUE!</v>
      </c>
      <c r="P11" s="1394" t="e">
        <f>M11/13</f>
        <v>#VALUE!</v>
      </c>
      <c r="Q11" s="1393" t="e">
        <f>'F. resultad econ. glob. detalh'!B22</f>
        <v>#VALUE!</v>
      </c>
      <c r="R11" s="1397" t="e">
        <f>Q11/$Q$11</f>
        <v>#VALUE!</v>
      </c>
      <c r="S11" s="1395" t="e">
        <f>Q11/((SOLO!I43+SOLO!K43)/2)</f>
        <v>#VALUE!</v>
      </c>
      <c r="T11" s="1403" t="e">
        <f>Q11/13</f>
        <v>#VALUE!</v>
      </c>
      <c r="U11" s="1401"/>
      <c r="V11" s="1756" t="s">
        <v>56</v>
      </c>
    </row>
    <row r="12" spans="1:22" x14ac:dyDescent="0.2">
      <c r="A12" s="1400"/>
      <c r="B12" s="70"/>
      <c r="C12" s="70"/>
      <c r="D12" s="70"/>
      <c r="E12" s="70"/>
      <c r="F12" s="70"/>
      <c r="G12" s="70"/>
      <c r="H12" s="70"/>
      <c r="I12" s="70"/>
      <c r="J12" s="70"/>
      <c r="K12" s="1215" t="str">
        <f>'RESUMO RESULTADO GERAL'!C4</f>
        <v>ATIVIDADE LEITE</v>
      </c>
      <c r="L12" s="1216"/>
      <c r="M12" s="1390">
        <f ca="1">'F. resultad econ. glob. detalh'!B67</f>
        <v>15200</v>
      </c>
      <c r="N12" s="1391" t="e">
        <f ca="1">M12/'G. RESULT. TEC.  AREA LEITE'!D10</f>
        <v>#DIV/0!</v>
      </c>
      <c r="O12" s="1396" t="e">
        <f t="shared" ref="O12:O20" ca="1" si="0">M12/$M$11</f>
        <v>#VALUE!</v>
      </c>
      <c r="P12" s="1391">
        <f ca="1">M12/13</f>
        <v>1169.2307692307693</v>
      </c>
      <c r="Q12" s="1391">
        <f ca="1">'F. resultad econ. glob. detalh'!B68</f>
        <v>10576.25</v>
      </c>
      <c r="R12" s="1397" t="e">
        <f t="shared" ref="R12:R20" ca="1" si="1">Q12/$Q$11</f>
        <v>#VALUE!</v>
      </c>
      <c r="S12" s="1391" t="e">
        <f ca="1">Q12/'G. RESULT. TEC.  AREA LEITE'!D10</f>
        <v>#DIV/0!</v>
      </c>
      <c r="T12" s="1404">
        <f ca="1">Q12/13</f>
        <v>813.55769230769226</v>
      </c>
      <c r="U12" s="1401"/>
      <c r="V12" s="1756" t="s">
        <v>56</v>
      </c>
    </row>
    <row r="13" spans="1:22" x14ac:dyDescent="0.2">
      <c r="A13" s="1400"/>
      <c r="B13" s="70"/>
      <c r="C13" s="70"/>
      <c r="D13" s="70"/>
      <c r="E13" s="70"/>
      <c r="F13" s="70"/>
      <c r="G13" s="70"/>
      <c r="H13" s="70"/>
      <c r="I13" s="70"/>
      <c r="J13" s="70"/>
      <c r="K13" s="3304" t="str">
        <f>'RESUMO RESULTADO GERAL'!D4</f>
        <v/>
      </c>
      <c r="L13" s="3305"/>
      <c r="M13" s="1390">
        <f ca="1">'F. resultad econ. glob. detalh'!B92</f>
        <v>0</v>
      </c>
      <c r="N13" s="1391">
        <f>IF(SOLO!I9=0,0,M13/SOLO!I9)</f>
        <v>0</v>
      </c>
      <c r="O13" s="1396" t="e">
        <f t="shared" ca="1" si="0"/>
        <v>#VALUE!</v>
      </c>
      <c r="P13" s="1391">
        <f t="shared" ref="P13:P20" ca="1" si="2">M13/13</f>
        <v>0</v>
      </c>
      <c r="Q13" s="1391">
        <f ca="1">'F. resultad econ. glob. detalh'!B93</f>
        <v>0</v>
      </c>
      <c r="R13" s="1397" t="e">
        <f t="shared" ca="1" si="1"/>
        <v>#VALUE!</v>
      </c>
      <c r="S13" s="1391">
        <f>IF(SOLO!I9=0,0,Q13/SOLO!I9)</f>
        <v>0</v>
      </c>
      <c r="T13" s="1404">
        <f t="shared" ref="T13:T20" ca="1" si="3">Q13/13</f>
        <v>0</v>
      </c>
      <c r="U13" s="1401"/>
      <c r="V13" s="1756" t="s">
        <v>56</v>
      </c>
    </row>
    <row r="14" spans="1:22" x14ac:dyDescent="0.2">
      <c r="A14" s="1400"/>
      <c r="B14" s="70"/>
      <c r="C14" s="70"/>
      <c r="D14" s="70"/>
      <c r="E14" s="70"/>
      <c r="F14" s="70"/>
      <c r="G14" s="70"/>
      <c r="H14" s="70"/>
      <c r="I14" s="70"/>
      <c r="J14" s="70"/>
      <c r="K14" s="3304" t="str">
        <f>'RESUMO RESULTADO GERAL'!E4</f>
        <v/>
      </c>
      <c r="L14" s="3305"/>
      <c r="M14" s="1390">
        <f ca="1">'F. resultad econ. glob. detalh'!B124</f>
        <v>0</v>
      </c>
      <c r="N14" s="1391">
        <f>IF(SOLO!I10=0,0,M14/SOLO!I10)</f>
        <v>0</v>
      </c>
      <c r="O14" s="1396" t="e">
        <f t="shared" ca="1" si="0"/>
        <v>#VALUE!</v>
      </c>
      <c r="P14" s="1391">
        <f t="shared" ca="1" si="2"/>
        <v>0</v>
      </c>
      <c r="Q14" s="1391">
        <f ca="1">'F. resultad econ. glob. detalh'!B125</f>
        <v>0</v>
      </c>
      <c r="R14" s="1397" t="e">
        <f t="shared" ca="1" si="1"/>
        <v>#VALUE!</v>
      </c>
      <c r="S14" s="1391">
        <f>IF(SOLO!I10=0,0,Q14/SOLO!I10)</f>
        <v>0</v>
      </c>
      <c r="T14" s="1404">
        <f t="shared" ca="1" si="3"/>
        <v>0</v>
      </c>
      <c r="U14" s="1401"/>
      <c r="V14" s="1756" t="s">
        <v>56</v>
      </c>
    </row>
    <row r="15" spans="1:22" x14ac:dyDescent="0.2">
      <c r="A15" s="1400"/>
      <c r="B15" s="70"/>
      <c r="C15" s="70"/>
      <c r="D15" s="70"/>
      <c r="E15" s="70"/>
      <c r="F15" s="70"/>
      <c r="G15" s="70"/>
      <c r="H15" s="70"/>
      <c r="I15" s="70"/>
      <c r="J15" s="70"/>
      <c r="K15" s="3304" t="str">
        <f>'RESUMO RESULTADO GERAL'!F4</f>
        <v/>
      </c>
      <c r="L15" s="3305"/>
      <c r="M15" s="1390">
        <f ca="1">'F. resultad econ. glob. detalh'!B148</f>
        <v>0</v>
      </c>
      <c r="N15" s="1391">
        <f>IF(SOLO!I11=0,0,M15/SOLO!I11)</f>
        <v>0</v>
      </c>
      <c r="O15" s="1396" t="e">
        <f t="shared" ca="1" si="0"/>
        <v>#VALUE!</v>
      </c>
      <c r="P15" s="1391">
        <f t="shared" ca="1" si="2"/>
        <v>0</v>
      </c>
      <c r="Q15" s="1391">
        <f ca="1">'F. resultad econ. glob. detalh'!B149</f>
        <v>0</v>
      </c>
      <c r="R15" s="1397" t="e">
        <f t="shared" ca="1" si="1"/>
        <v>#VALUE!</v>
      </c>
      <c r="S15" s="1391">
        <f>IF(SOLO!I11=0,0,Q15/SOLO!I11)</f>
        <v>0</v>
      </c>
      <c r="T15" s="1404">
        <f t="shared" ca="1" si="3"/>
        <v>0</v>
      </c>
      <c r="U15" s="1401"/>
      <c r="V15" s="1756" t="s">
        <v>56</v>
      </c>
    </row>
    <row r="16" spans="1:22" x14ac:dyDescent="0.2">
      <c r="A16" s="1400"/>
      <c r="B16" s="70"/>
      <c r="C16" s="70"/>
      <c r="D16" s="70"/>
      <c r="E16" s="70"/>
      <c r="F16" s="70"/>
      <c r="G16" s="70"/>
      <c r="H16" s="70"/>
      <c r="I16" s="70"/>
      <c r="J16" s="70"/>
      <c r="K16" s="3304" t="str">
        <f>'RESUMO RESULTADO GERAL'!G4</f>
        <v/>
      </c>
      <c r="L16" s="3305"/>
      <c r="M16" s="1390">
        <f ca="1">'F. resultad econ. glob. detalh'!B173</f>
        <v>0</v>
      </c>
      <c r="N16" s="1391">
        <f>IF(SOLO!I13=0,0,M16/SOLO!I13)</f>
        <v>0</v>
      </c>
      <c r="O16" s="1396" t="e">
        <f t="shared" ca="1" si="0"/>
        <v>#VALUE!</v>
      </c>
      <c r="P16" s="1391">
        <f t="shared" ca="1" si="2"/>
        <v>0</v>
      </c>
      <c r="Q16" s="1391">
        <f ca="1">'F. resultad econ. glob. detalh'!B174</f>
        <v>0</v>
      </c>
      <c r="R16" s="1397" t="e">
        <f t="shared" ca="1" si="1"/>
        <v>#VALUE!</v>
      </c>
      <c r="S16" s="1391">
        <f>IF(SOLO!I13=0,0,Q16/SOLO!I13)</f>
        <v>0</v>
      </c>
      <c r="T16" s="1404">
        <f t="shared" ca="1" si="3"/>
        <v>0</v>
      </c>
      <c r="U16" s="1401"/>
      <c r="V16" s="1756" t="s">
        <v>56</v>
      </c>
    </row>
    <row r="17" spans="1:22" x14ac:dyDescent="0.2">
      <c r="A17" s="1400"/>
      <c r="B17" s="70"/>
      <c r="C17" s="70"/>
      <c r="D17" s="70"/>
      <c r="E17" s="70"/>
      <c r="F17" s="70"/>
      <c r="G17" s="70"/>
      <c r="H17" s="70"/>
      <c r="I17" s="70"/>
      <c r="J17" s="70"/>
      <c r="K17" s="3304" t="str">
        <f>'RESUMO RESULTADO GERAL'!H4</f>
        <v/>
      </c>
      <c r="L17" s="3305"/>
      <c r="M17" s="1390">
        <f ca="1">'F. resultad econ. glob. detalh'!B197</f>
        <v>0</v>
      </c>
      <c r="N17" s="1391">
        <f>IF(SOLO!I14=0,0,M17/SOLO!I14)</f>
        <v>0</v>
      </c>
      <c r="O17" s="1396" t="e">
        <f t="shared" ca="1" si="0"/>
        <v>#VALUE!</v>
      </c>
      <c r="P17" s="1391">
        <f t="shared" ca="1" si="2"/>
        <v>0</v>
      </c>
      <c r="Q17" s="1391">
        <f ca="1">'F. resultad econ. glob. detalh'!B198</f>
        <v>0</v>
      </c>
      <c r="R17" s="1397" t="e">
        <f t="shared" ca="1" si="1"/>
        <v>#VALUE!</v>
      </c>
      <c r="S17" s="1391">
        <f>IF(SOLO!I14=0,0,Q17/SOLO!I14)</f>
        <v>0</v>
      </c>
      <c r="T17" s="1404">
        <f t="shared" ca="1" si="3"/>
        <v>0</v>
      </c>
      <c r="U17" s="1401"/>
      <c r="V17" s="1756" t="s">
        <v>56</v>
      </c>
    </row>
    <row r="18" spans="1:22" x14ac:dyDescent="0.2">
      <c r="A18" s="1400"/>
      <c r="B18" s="70"/>
      <c r="C18" s="70"/>
      <c r="D18" s="70"/>
      <c r="E18" s="70"/>
      <c r="F18" s="70"/>
      <c r="G18" s="70"/>
      <c r="H18" s="70"/>
      <c r="I18" s="70"/>
      <c r="J18" s="70"/>
      <c r="K18" s="3304" t="str">
        <f>'RESUMO RESULTADO GERAL'!I4</f>
        <v>SUINOS</v>
      </c>
      <c r="L18" s="3305"/>
      <c r="M18" s="1390">
        <f ca="1">'F. resultad econ. glob. detalh'!B228</f>
        <v>0</v>
      </c>
      <c r="N18" s="1391" t="s">
        <v>437</v>
      </c>
      <c r="O18" s="1396" t="e">
        <f t="shared" ca="1" si="0"/>
        <v>#VALUE!</v>
      </c>
      <c r="P18" s="1391">
        <f t="shared" ca="1" si="2"/>
        <v>0</v>
      </c>
      <c r="Q18" s="1391">
        <f ca="1">'F. resultad econ. glob. detalh'!B229</f>
        <v>0</v>
      </c>
      <c r="R18" s="1397" t="e">
        <f t="shared" ca="1" si="1"/>
        <v>#VALUE!</v>
      </c>
      <c r="S18" s="1391" t="s">
        <v>437</v>
      </c>
      <c r="T18" s="1404">
        <f t="shared" ca="1" si="3"/>
        <v>0</v>
      </c>
      <c r="U18" s="1401"/>
      <c r="V18" s="1756" t="s">
        <v>56</v>
      </c>
    </row>
    <row r="19" spans="1:22" x14ac:dyDescent="0.2">
      <c r="A19" s="1400"/>
      <c r="B19" s="70"/>
      <c r="C19" s="70"/>
      <c r="D19" s="70"/>
      <c r="E19" s="70"/>
      <c r="F19" s="70"/>
      <c r="G19" s="70"/>
      <c r="H19" s="70"/>
      <c r="I19" s="70"/>
      <c r="J19" s="70"/>
      <c r="K19" s="3304" t="str">
        <f>'RESUMO RESULTADO GERAL'!J4</f>
        <v xml:space="preserve">                 AVES</v>
      </c>
      <c r="L19" s="3305"/>
      <c r="M19" s="1390">
        <f ca="1">'F. resultad econ. glob. detalh'!B260</f>
        <v>0</v>
      </c>
      <c r="N19" s="1391" t="s">
        <v>437</v>
      </c>
      <c r="O19" s="1396" t="e">
        <f t="shared" ca="1" si="0"/>
        <v>#VALUE!</v>
      </c>
      <c r="P19" s="1391">
        <f t="shared" ca="1" si="2"/>
        <v>0</v>
      </c>
      <c r="Q19" s="1391">
        <f ca="1">'F. resultad econ. glob. detalh'!B261</f>
        <v>0</v>
      </c>
      <c r="R19" s="1397" t="e">
        <f t="shared" ca="1" si="1"/>
        <v>#VALUE!</v>
      </c>
      <c r="S19" s="1391" t="s">
        <v>437</v>
      </c>
      <c r="T19" s="1404">
        <f t="shared" ca="1" si="3"/>
        <v>0</v>
      </c>
      <c r="U19" s="1401"/>
      <c r="V19" s="1756" t="s">
        <v>56</v>
      </c>
    </row>
    <row r="20" spans="1:22" ht="13.5" thickBot="1" x14ac:dyDescent="0.25">
      <c r="A20" s="1400"/>
      <c r="B20" s="70"/>
      <c r="C20" s="70"/>
      <c r="D20" s="70"/>
      <c r="E20" s="70"/>
      <c r="F20" s="70"/>
      <c r="G20" s="70"/>
      <c r="H20" s="70"/>
      <c r="I20" s="70"/>
      <c r="J20" s="70"/>
      <c r="K20" s="3302" t="str">
        <f>'RESUMO RESULTADO GERAL'!K4</f>
        <v xml:space="preserve">OUTROS ANIMAIS </v>
      </c>
      <c r="L20" s="3303"/>
      <c r="M20" s="1392">
        <f ca="1">'F. resultad econ. glob. detalh'!B290</f>
        <v>0</v>
      </c>
      <c r="N20" s="1405" t="s">
        <v>437</v>
      </c>
      <c r="O20" s="1406" t="e">
        <f t="shared" ca="1" si="0"/>
        <v>#VALUE!</v>
      </c>
      <c r="P20" s="1405">
        <f t="shared" ca="1" si="2"/>
        <v>0</v>
      </c>
      <c r="Q20" s="1405">
        <f ca="1">'F. resultad econ. glob. detalh'!B291</f>
        <v>0</v>
      </c>
      <c r="R20" s="1407" t="e">
        <f t="shared" ca="1" si="1"/>
        <v>#VALUE!</v>
      </c>
      <c r="S20" s="1405" t="s">
        <v>437</v>
      </c>
      <c r="T20" s="1408">
        <f t="shared" ca="1" si="3"/>
        <v>0</v>
      </c>
      <c r="U20" s="1401"/>
      <c r="V20" s="1756" t="s">
        <v>56</v>
      </c>
    </row>
    <row r="21" spans="1:22" ht="13.5" thickBot="1" x14ac:dyDescent="0.25">
      <c r="A21" s="1400"/>
      <c r="B21" s="70"/>
      <c r="C21" s="70"/>
      <c r="D21" s="70"/>
      <c r="E21" s="70"/>
      <c r="F21" s="70"/>
      <c r="G21" s="70"/>
      <c r="H21" s="70"/>
      <c r="I21" s="70"/>
      <c r="J21" s="70"/>
      <c r="K21" s="70"/>
      <c r="L21" s="70"/>
      <c r="M21" s="70"/>
      <c r="N21" s="70"/>
      <c r="O21" s="70"/>
      <c r="P21" s="70"/>
      <c r="Q21" s="70"/>
      <c r="R21" s="70"/>
      <c r="S21" s="70"/>
      <c r="T21" s="70"/>
      <c r="U21" s="1401"/>
      <c r="V21" s="1756" t="s">
        <v>56</v>
      </c>
    </row>
    <row r="22" spans="1:22" ht="79.150000000000006" customHeight="1" thickBot="1" x14ac:dyDescent="0.25">
      <c r="A22" s="1400"/>
      <c r="B22" s="70"/>
      <c r="C22" s="70"/>
      <c r="D22" s="70"/>
      <c r="E22" s="70"/>
      <c r="F22" s="70"/>
      <c r="G22" s="70"/>
      <c r="H22" s="70"/>
      <c r="I22" s="70"/>
      <c r="J22" s="70"/>
      <c r="K22" s="3327" t="s">
        <v>603</v>
      </c>
      <c r="L22" s="3328"/>
      <c r="M22" s="1398"/>
      <c r="N22" s="3316" t="s">
        <v>0</v>
      </c>
      <c r="O22" s="3317"/>
      <c r="P22" s="3317"/>
      <c r="Q22" s="3317"/>
      <c r="R22" s="3318"/>
      <c r="S22" s="70"/>
      <c r="T22" s="70"/>
      <c r="U22" s="1401"/>
      <c r="V22" s="1756" t="s">
        <v>56</v>
      </c>
    </row>
    <row r="23" spans="1:22" ht="13.5" thickBot="1" x14ac:dyDescent="0.25">
      <c r="A23" s="1400"/>
      <c r="B23" s="70"/>
      <c r="C23" s="70"/>
      <c r="D23" s="70"/>
      <c r="E23" s="70"/>
      <c r="F23" s="70"/>
      <c r="G23" s="70"/>
      <c r="H23" s="70"/>
      <c r="I23" s="70"/>
      <c r="J23" s="70"/>
      <c r="K23" s="3325" t="e">
        <f>'F. resultad econ. glob. detalh'!B22/M.oBRA!F19</f>
        <v>#VALUE!</v>
      </c>
      <c r="L23" s="3326"/>
      <c r="M23" s="1399"/>
      <c r="N23" s="3319"/>
      <c r="O23" s="3320"/>
      <c r="P23" s="3320"/>
      <c r="Q23" s="3320"/>
      <c r="R23" s="3321"/>
      <c r="S23" s="70"/>
      <c r="T23" s="70"/>
      <c r="U23" s="1401"/>
      <c r="V23" s="1756" t="s">
        <v>56</v>
      </c>
    </row>
    <row r="24" spans="1:22" ht="13.5" thickBot="1" x14ac:dyDescent="0.25">
      <c r="A24" s="1400"/>
      <c r="B24" s="70"/>
      <c r="C24" s="70"/>
      <c r="D24" s="70"/>
      <c r="E24" s="70"/>
      <c r="F24" s="70"/>
      <c r="G24" s="70"/>
      <c r="H24" s="70"/>
      <c r="I24" s="70"/>
      <c r="J24" s="70"/>
      <c r="K24" s="1400"/>
      <c r="L24" s="1401"/>
      <c r="M24" s="70"/>
      <c r="N24" s="3322"/>
      <c r="O24" s="3323"/>
      <c r="P24" s="3323"/>
      <c r="Q24" s="3323"/>
      <c r="R24" s="3324"/>
      <c r="S24" s="70"/>
      <c r="T24" s="70"/>
      <c r="U24" s="1401"/>
      <c r="V24" s="1756" t="s">
        <v>56</v>
      </c>
    </row>
    <row r="25" spans="1:22" ht="40.15" customHeight="1" thickBot="1" x14ac:dyDescent="0.25">
      <c r="A25" s="1400"/>
      <c r="B25" s="70"/>
      <c r="C25" s="70"/>
      <c r="D25" s="70"/>
      <c r="E25" s="70"/>
      <c r="F25" s="70"/>
      <c r="G25" s="70"/>
      <c r="H25" s="70"/>
      <c r="I25" s="70"/>
      <c r="J25" s="70"/>
      <c r="K25" s="3329" t="s">
        <v>583</v>
      </c>
      <c r="L25" s="3330"/>
      <c r="M25" s="70"/>
      <c r="N25" s="70"/>
      <c r="O25" s="70"/>
      <c r="P25" s="70"/>
      <c r="Q25" s="70"/>
      <c r="R25" s="70"/>
      <c r="S25" s="70"/>
      <c r="T25" s="70"/>
      <c r="U25" s="1401"/>
      <c r="V25" s="1756" t="s">
        <v>56</v>
      </c>
    </row>
    <row r="26" spans="1:22" ht="13.5" thickBot="1" x14ac:dyDescent="0.25">
      <c r="A26" s="1400"/>
      <c r="B26" s="70"/>
      <c r="C26" s="70"/>
      <c r="D26" s="70"/>
      <c r="E26" s="70"/>
      <c r="F26" s="70"/>
      <c r="G26" s="70"/>
      <c r="H26" s="70"/>
      <c r="I26" s="70"/>
      <c r="J26" s="70"/>
      <c r="K26" s="3325">
        <f>'F. resultad econ. glob. detalh'!B23</f>
        <v>0</v>
      </c>
      <c r="L26" s="3326"/>
      <c r="M26" s="1751"/>
      <c r="N26" s="70"/>
      <c r="O26" s="70"/>
      <c r="P26" s="70"/>
      <c r="Q26" s="70"/>
      <c r="R26" s="70"/>
      <c r="S26" s="70"/>
      <c r="T26" s="70"/>
      <c r="U26" s="1401"/>
      <c r="V26" s="1756" t="s">
        <v>56</v>
      </c>
    </row>
    <row r="27" spans="1:22" x14ac:dyDescent="0.2">
      <c r="A27" s="1400"/>
      <c r="B27" s="70"/>
      <c r="C27" s="70"/>
      <c r="D27" s="70"/>
      <c r="E27" s="70"/>
      <c r="F27" s="70"/>
      <c r="G27" s="70"/>
      <c r="H27" s="70"/>
      <c r="I27" s="70"/>
      <c r="J27" s="70"/>
      <c r="K27" s="70"/>
      <c r="L27" s="70"/>
      <c r="M27" s="70"/>
      <c r="N27" s="70"/>
      <c r="O27" s="70"/>
      <c r="P27" s="70"/>
      <c r="Q27" s="70"/>
      <c r="R27" s="70"/>
      <c r="S27" s="70"/>
      <c r="T27" s="70"/>
      <c r="U27" s="1401"/>
      <c r="V27" s="1756" t="s">
        <v>56</v>
      </c>
    </row>
    <row r="28" spans="1:22" x14ac:dyDescent="0.2">
      <c r="A28" s="1400"/>
      <c r="B28" s="70"/>
      <c r="C28" s="70"/>
      <c r="D28" s="70"/>
      <c r="E28" s="70"/>
      <c r="F28" s="70"/>
      <c r="G28" s="70"/>
      <c r="H28" s="70"/>
      <c r="I28" s="70"/>
      <c r="J28" s="70"/>
      <c r="K28" s="70"/>
      <c r="L28" s="70"/>
      <c r="M28" s="70"/>
      <c r="N28" s="70"/>
      <c r="O28" s="70"/>
      <c r="P28" s="70"/>
      <c r="Q28" s="70"/>
      <c r="R28" s="70"/>
      <c r="S28" s="70"/>
      <c r="T28" s="70"/>
      <c r="U28" s="1401"/>
      <c r="V28" s="1756" t="s">
        <v>56</v>
      </c>
    </row>
    <row r="29" spans="1:22" x14ac:dyDescent="0.2">
      <c r="A29" s="1400"/>
      <c r="B29" s="70"/>
      <c r="C29" s="70"/>
      <c r="D29" s="70"/>
      <c r="E29" s="70"/>
      <c r="F29" s="70"/>
      <c r="G29" s="70"/>
      <c r="H29" s="70"/>
      <c r="I29" s="70"/>
      <c r="J29" s="70"/>
      <c r="K29" s="70"/>
      <c r="L29" s="70"/>
      <c r="M29" s="70"/>
      <c r="N29" s="70"/>
      <c r="O29" s="70"/>
      <c r="P29" s="70"/>
      <c r="Q29" s="70"/>
      <c r="R29" s="70"/>
      <c r="S29" s="70"/>
      <c r="T29" s="70"/>
      <c r="U29" s="1401"/>
      <c r="V29" s="1756" t="s">
        <v>56</v>
      </c>
    </row>
    <row r="30" spans="1:22" x14ac:dyDescent="0.2">
      <c r="A30" s="1400"/>
      <c r="B30" s="70"/>
      <c r="C30" s="70"/>
      <c r="D30" s="70"/>
      <c r="E30" s="70"/>
      <c r="F30" s="70"/>
      <c r="G30" s="70"/>
      <c r="H30" s="70"/>
      <c r="I30" s="70"/>
      <c r="J30" s="70"/>
      <c r="K30" s="70"/>
      <c r="L30" s="70"/>
      <c r="M30" s="70"/>
      <c r="N30" s="70"/>
      <c r="O30" s="70"/>
      <c r="P30" s="70"/>
      <c r="Q30" s="70"/>
      <c r="R30" s="70"/>
      <c r="S30" s="70"/>
      <c r="T30" s="70"/>
      <c r="U30" s="1401"/>
      <c r="V30" s="1756" t="s">
        <v>56</v>
      </c>
    </row>
    <row r="31" spans="1:22" x14ac:dyDescent="0.2">
      <c r="A31" s="1400"/>
      <c r="B31" s="70"/>
      <c r="C31" s="70"/>
      <c r="D31" s="70"/>
      <c r="E31" s="70"/>
      <c r="F31" s="70"/>
      <c r="G31" s="70"/>
      <c r="H31" s="70"/>
      <c r="I31" s="70"/>
      <c r="J31" s="70"/>
      <c r="K31" s="70"/>
      <c r="L31" s="70"/>
      <c r="M31" s="70"/>
      <c r="N31" s="70"/>
      <c r="O31" s="70"/>
      <c r="P31" s="70"/>
      <c r="Q31" s="70"/>
      <c r="R31" s="70"/>
      <c r="S31" s="70"/>
      <c r="T31" s="70"/>
      <c r="U31" s="1401"/>
      <c r="V31" s="1756" t="s">
        <v>56</v>
      </c>
    </row>
    <row r="32" spans="1:22" x14ac:dyDescent="0.2">
      <c r="A32" s="1400"/>
      <c r="B32" s="70"/>
      <c r="C32" s="70"/>
      <c r="D32" s="70"/>
      <c r="E32" s="70"/>
      <c r="F32" s="70"/>
      <c r="G32" s="70"/>
      <c r="H32" s="70"/>
      <c r="I32" s="70"/>
      <c r="J32" s="70"/>
      <c r="K32" s="70"/>
      <c r="L32" s="70"/>
      <c r="M32" s="70"/>
      <c r="N32" s="70"/>
      <c r="O32" s="70"/>
      <c r="P32" s="70"/>
      <c r="Q32" s="70"/>
      <c r="R32" s="70"/>
      <c r="S32" s="70"/>
      <c r="T32" s="70"/>
      <c r="U32" s="1401"/>
      <c r="V32" s="1756" t="s">
        <v>56</v>
      </c>
    </row>
    <row r="33" spans="1:22" x14ac:dyDescent="0.2">
      <c r="A33" s="1400"/>
      <c r="B33" s="70"/>
      <c r="C33" s="70"/>
      <c r="D33" s="70"/>
      <c r="E33" s="70"/>
      <c r="F33" s="70"/>
      <c r="G33" s="70"/>
      <c r="H33" s="70"/>
      <c r="I33" s="70"/>
      <c r="J33" s="70"/>
      <c r="K33" s="70"/>
      <c r="L33" s="70"/>
      <c r="M33" s="70"/>
      <c r="N33" s="70"/>
      <c r="O33" s="70"/>
      <c r="P33" s="70"/>
      <c r="Q33" s="70"/>
      <c r="R33" s="70"/>
      <c r="S33" s="70"/>
      <c r="T33" s="70"/>
      <c r="U33" s="1401"/>
      <c r="V33" s="1756" t="s">
        <v>56</v>
      </c>
    </row>
    <row r="34" spans="1:22" x14ac:dyDescent="0.2">
      <c r="A34" s="1400"/>
      <c r="B34" s="70"/>
      <c r="C34" s="70"/>
      <c r="D34" s="70"/>
      <c r="E34" s="70"/>
      <c r="F34" s="70"/>
      <c r="G34" s="70"/>
      <c r="H34" s="70"/>
      <c r="I34" s="70"/>
      <c r="J34" s="70"/>
      <c r="K34" s="70"/>
      <c r="L34" s="70"/>
      <c r="M34" s="70"/>
      <c r="N34" s="70"/>
      <c r="O34" s="70"/>
      <c r="P34" s="70"/>
      <c r="Q34" s="70"/>
      <c r="R34" s="70"/>
      <c r="S34" s="70"/>
      <c r="T34" s="70"/>
      <c r="U34" s="1401"/>
      <c r="V34" s="1756" t="s">
        <v>56</v>
      </c>
    </row>
    <row r="35" spans="1:22" x14ac:dyDescent="0.2">
      <c r="A35" s="1400"/>
      <c r="B35" s="70"/>
      <c r="C35" s="70"/>
      <c r="D35" s="70"/>
      <c r="E35" s="70"/>
      <c r="F35" s="70"/>
      <c r="G35" s="70"/>
      <c r="H35" s="70"/>
      <c r="I35" s="70"/>
      <c r="J35" s="70"/>
      <c r="K35" s="70"/>
      <c r="L35" s="70"/>
      <c r="M35" s="70"/>
      <c r="N35" s="70"/>
      <c r="O35" s="70"/>
      <c r="P35" s="70"/>
      <c r="Q35" s="70"/>
      <c r="R35" s="70"/>
      <c r="S35" s="70"/>
      <c r="T35" s="70"/>
      <c r="U35" s="1401"/>
      <c r="V35" s="1756" t="s">
        <v>56</v>
      </c>
    </row>
    <row r="36" spans="1:22" x14ac:dyDescent="0.2">
      <c r="A36" s="1400"/>
      <c r="B36" s="70"/>
      <c r="C36" s="70"/>
      <c r="D36" s="70"/>
      <c r="E36" s="70"/>
      <c r="F36" s="70"/>
      <c r="G36" s="70"/>
      <c r="H36" s="70"/>
      <c r="I36" s="70"/>
      <c r="J36" s="70"/>
      <c r="K36" s="70"/>
      <c r="L36" s="70"/>
      <c r="M36" s="70"/>
      <c r="N36" s="70"/>
      <c r="O36" s="70"/>
      <c r="P36" s="70"/>
      <c r="Q36" s="70"/>
      <c r="R36" s="70"/>
      <c r="S36" s="70"/>
      <c r="T36" s="70"/>
      <c r="U36" s="1401"/>
      <c r="V36" s="1756" t="s">
        <v>56</v>
      </c>
    </row>
    <row r="37" spans="1:22" x14ac:dyDescent="0.2">
      <c r="A37" s="1400"/>
      <c r="B37" s="70"/>
      <c r="C37" s="70"/>
      <c r="D37" s="70"/>
      <c r="E37" s="70"/>
      <c r="F37" s="70"/>
      <c r="G37" s="70"/>
      <c r="H37" s="70"/>
      <c r="I37" s="70"/>
      <c r="J37" s="70"/>
      <c r="K37" s="70"/>
      <c r="L37" s="70"/>
      <c r="M37" s="70"/>
      <c r="N37" s="70"/>
      <c r="O37" s="70"/>
      <c r="P37" s="70"/>
      <c r="Q37" s="70"/>
      <c r="R37" s="70"/>
      <c r="S37" s="70"/>
      <c r="T37" s="70"/>
      <c r="U37" s="1401"/>
      <c r="V37" s="1756" t="s">
        <v>56</v>
      </c>
    </row>
    <row r="38" spans="1:22" x14ac:dyDescent="0.2">
      <c r="A38" s="1400"/>
      <c r="B38" s="70"/>
      <c r="C38" s="70"/>
      <c r="D38" s="70"/>
      <c r="E38" s="70"/>
      <c r="F38" s="70"/>
      <c r="G38" s="70"/>
      <c r="H38" s="70"/>
      <c r="I38" s="70"/>
      <c r="J38" s="70"/>
      <c r="K38" s="70"/>
      <c r="L38" s="70"/>
      <c r="M38" s="70"/>
      <c r="N38" s="70"/>
      <c r="O38" s="70"/>
      <c r="P38" s="70"/>
      <c r="Q38" s="70"/>
      <c r="R38" s="70"/>
      <c r="S38" s="70"/>
      <c r="T38" s="70"/>
      <c r="U38" s="1401"/>
      <c r="V38" s="1756" t="s">
        <v>56</v>
      </c>
    </row>
    <row r="39" spans="1:22" x14ac:dyDescent="0.2">
      <c r="A39" s="1400"/>
      <c r="B39" s="70"/>
      <c r="C39" s="70"/>
      <c r="D39" s="70"/>
      <c r="E39" s="70"/>
      <c r="F39" s="70"/>
      <c r="G39" s="70"/>
      <c r="H39" s="70"/>
      <c r="I39" s="70"/>
      <c r="J39" s="70"/>
      <c r="K39" s="70"/>
      <c r="L39" s="70"/>
      <c r="M39" s="70"/>
      <c r="N39" s="70"/>
      <c r="O39" s="70"/>
      <c r="P39" s="70"/>
      <c r="Q39" s="70"/>
      <c r="R39" s="70"/>
      <c r="S39" s="70"/>
      <c r="T39" s="70"/>
      <c r="U39" s="1401"/>
      <c r="V39" s="1756" t="s">
        <v>56</v>
      </c>
    </row>
    <row r="40" spans="1:22" x14ac:dyDescent="0.2">
      <c r="A40" s="1400"/>
      <c r="B40" s="70"/>
      <c r="C40" s="70"/>
      <c r="D40" s="70"/>
      <c r="E40" s="70"/>
      <c r="F40" s="70"/>
      <c r="G40" s="70"/>
      <c r="H40" s="70"/>
      <c r="I40" s="70"/>
      <c r="J40" s="70"/>
      <c r="K40" s="70"/>
      <c r="L40" s="70"/>
      <c r="M40" s="70"/>
      <c r="N40" s="70"/>
      <c r="O40" s="70"/>
      <c r="P40" s="70"/>
      <c r="Q40" s="70"/>
      <c r="R40" s="70"/>
      <c r="S40" s="70"/>
      <c r="T40" s="70"/>
      <c r="U40" s="1401"/>
      <c r="V40" s="1756" t="s">
        <v>56</v>
      </c>
    </row>
    <row r="41" spans="1:22" x14ac:dyDescent="0.2">
      <c r="A41" s="1400"/>
      <c r="B41" s="70"/>
      <c r="C41" s="70"/>
      <c r="D41" s="70"/>
      <c r="E41" s="70"/>
      <c r="F41" s="70"/>
      <c r="G41" s="70"/>
      <c r="H41" s="70"/>
      <c r="I41" s="70"/>
      <c r="J41" s="70"/>
      <c r="K41" s="70"/>
      <c r="L41" s="70"/>
      <c r="M41" s="70"/>
      <c r="N41" s="70"/>
      <c r="O41" s="70"/>
      <c r="P41" s="70"/>
      <c r="Q41" s="70"/>
      <c r="R41" s="70"/>
      <c r="S41" s="70"/>
      <c r="T41" s="70"/>
      <c r="U41" s="1401"/>
      <c r="V41" s="1756" t="s">
        <v>56</v>
      </c>
    </row>
    <row r="42" spans="1:22" x14ac:dyDescent="0.2">
      <c r="A42" s="1400"/>
      <c r="B42" s="70"/>
      <c r="C42" s="70"/>
      <c r="D42" s="70"/>
      <c r="E42" s="70"/>
      <c r="F42" s="70"/>
      <c r="G42" s="70"/>
      <c r="H42" s="70"/>
      <c r="I42" s="70"/>
      <c r="J42" s="70"/>
      <c r="K42" s="70"/>
      <c r="L42" s="70"/>
      <c r="M42" s="70"/>
      <c r="N42" s="70"/>
      <c r="O42" s="70"/>
      <c r="P42" s="70"/>
      <c r="Q42" s="70"/>
      <c r="R42" s="70"/>
      <c r="S42" s="70"/>
      <c r="T42" s="70"/>
      <c r="U42" s="1401"/>
      <c r="V42" s="1756" t="s">
        <v>56</v>
      </c>
    </row>
    <row r="43" spans="1:22" x14ac:dyDescent="0.2">
      <c r="A43" s="1400"/>
      <c r="B43" s="70"/>
      <c r="C43" s="70"/>
      <c r="D43" s="70"/>
      <c r="E43" s="70"/>
      <c r="F43" s="70"/>
      <c r="G43" s="70"/>
      <c r="H43" s="70"/>
      <c r="I43" s="70"/>
      <c r="J43" s="70"/>
      <c r="K43" s="70"/>
      <c r="L43" s="70"/>
      <c r="M43" s="70"/>
      <c r="N43" s="70"/>
      <c r="O43" s="70"/>
      <c r="P43" s="70"/>
      <c r="Q43" s="70"/>
      <c r="R43" s="70"/>
      <c r="S43" s="70"/>
      <c r="T43" s="70"/>
      <c r="U43" s="1401"/>
      <c r="V43" s="1756" t="s">
        <v>56</v>
      </c>
    </row>
    <row r="44" spans="1:22" x14ac:dyDescent="0.2">
      <c r="A44" s="1752"/>
      <c r="B44" s="1217"/>
      <c r="C44" s="1217"/>
      <c r="D44" s="1217"/>
      <c r="E44" s="1217"/>
      <c r="F44" s="1217"/>
      <c r="G44" s="1217"/>
      <c r="H44" s="1217"/>
      <c r="I44" s="1217"/>
      <c r="J44" s="70"/>
      <c r="K44" s="70"/>
      <c r="L44" s="70"/>
      <c r="M44" s="70"/>
      <c r="N44" s="70"/>
      <c r="O44" s="70"/>
      <c r="P44" s="70"/>
      <c r="Q44" s="70"/>
      <c r="R44" s="70"/>
      <c r="S44" s="70"/>
      <c r="T44" s="70"/>
      <c r="U44" s="1401"/>
      <c r="V44" s="1756" t="s">
        <v>56</v>
      </c>
    </row>
    <row r="45" spans="1:22" x14ac:dyDescent="0.2">
      <c r="A45" s="1752"/>
      <c r="B45" s="1217"/>
      <c r="C45" s="1217"/>
      <c r="D45" s="1217"/>
      <c r="E45" s="1217"/>
      <c r="F45" s="1217"/>
      <c r="G45" s="1217"/>
      <c r="H45" s="1217"/>
      <c r="I45" s="1217"/>
      <c r="J45" s="70"/>
      <c r="K45" s="70"/>
      <c r="L45" s="70"/>
      <c r="M45" s="70"/>
      <c r="N45" s="70"/>
      <c r="O45" s="70"/>
      <c r="P45" s="70"/>
      <c r="Q45" s="70"/>
      <c r="R45" s="70"/>
      <c r="S45" s="70"/>
      <c r="T45" s="70"/>
      <c r="U45" s="1401"/>
      <c r="V45" s="1756" t="s">
        <v>56</v>
      </c>
    </row>
    <row r="46" spans="1:22" x14ac:dyDescent="0.2">
      <c r="A46" s="1752"/>
      <c r="B46" s="1217" t="str">
        <f>'F. resultad econ. glob. detalh'!A9</f>
        <v xml:space="preserve">             Insumos e serviços </v>
      </c>
      <c r="C46" s="1217"/>
      <c r="D46" s="1217"/>
      <c r="E46" s="1217"/>
      <c r="F46" s="1218">
        <f>'F. resultad econ. glob. detalh'!C9</f>
        <v>0</v>
      </c>
      <c r="G46" s="1217"/>
      <c r="H46" s="1217"/>
      <c r="I46" s="1217"/>
      <c r="J46" s="70"/>
      <c r="K46" s="70"/>
      <c r="L46" s="70"/>
      <c r="M46" s="70"/>
      <c r="N46" s="70"/>
      <c r="O46" s="70"/>
      <c r="P46" s="70"/>
      <c r="Q46" s="70"/>
      <c r="R46" s="70"/>
      <c r="S46" s="70"/>
      <c r="T46" s="70"/>
      <c r="U46" s="1401"/>
      <c r="V46" s="1756" t="s">
        <v>56</v>
      </c>
    </row>
    <row r="47" spans="1:22" x14ac:dyDescent="0.2">
      <c r="A47" s="1752"/>
      <c r="B47" s="1217" t="str">
        <f>'F. resultad econ. glob. detalh'!A10</f>
        <v xml:space="preserve">            conservação reparos de maquinas </v>
      </c>
      <c r="C47" s="1217"/>
      <c r="D47" s="1217"/>
      <c r="E47" s="1217"/>
      <c r="F47" s="1218">
        <f>'F. resultad econ. glob. detalh'!C10</f>
        <v>0</v>
      </c>
      <c r="G47" s="1217"/>
      <c r="H47" s="1217"/>
      <c r="I47" s="1217"/>
      <c r="J47" s="70"/>
      <c r="K47" s="70"/>
      <c r="L47" s="70"/>
      <c r="M47" s="70"/>
      <c r="N47" s="70"/>
      <c r="O47" s="70"/>
      <c r="P47" s="70"/>
      <c r="Q47" s="70"/>
      <c r="R47" s="70"/>
      <c r="S47" s="70"/>
      <c r="T47" s="70"/>
      <c r="U47" s="1401"/>
      <c r="V47" s="1756" t="s">
        <v>56</v>
      </c>
    </row>
    <row r="48" spans="1:22" x14ac:dyDescent="0.2">
      <c r="A48" s="1752"/>
      <c r="B48" s="1217" t="str">
        <f>'F. resultad econ. glob. detalh'!A11</f>
        <v xml:space="preserve">            conservação e reparos de construções</v>
      </c>
      <c r="C48" s="1217"/>
      <c r="D48" s="1217"/>
      <c r="E48" s="1217"/>
      <c r="F48" s="1218">
        <f>'F. resultad econ. glob. detalh'!C11</f>
        <v>0</v>
      </c>
      <c r="G48" s="1217"/>
      <c r="H48" s="1217"/>
      <c r="I48" s="1217"/>
      <c r="J48" s="70"/>
      <c r="K48" s="70"/>
      <c r="L48" s="70"/>
      <c r="M48" s="70"/>
      <c r="N48" s="70"/>
      <c r="O48" s="70"/>
      <c r="P48" s="70"/>
      <c r="Q48" s="70"/>
      <c r="R48" s="70"/>
      <c r="S48" s="70"/>
      <c r="T48" s="70"/>
      <c r="U48" s="1401"/>
      <c r="V48" s="1756" t="s">
        <v>56</v>
      </c>
    </row>
    <row r="49" spans="1:22" x14ac:dyDescent="0.2">
      <c r="A49" s="1752"/>
      <c r="B49" s="1217" t="str">
        <f>'F. resultad econ. glob. detalh'!A12</f>
        <v xml:space="preserve">            mão obra contratada</v>
      </c>
      <c r="C49" s="1217"/>
      <c r="D49" s="1217"/>
      <c r="E49" s="1217"/>
      <c r="F49" s="1218">
        <f>'F. resultad econ. glob. detalh'!C12</f>
        <v>0</v>
      </c>
      <c r="G49" s="1217"/>
      <c r="H49" s="1217"/>
      <c r="I49" s="1217"/>
      <c r="J49" s="70"/>
      <c r="K49" s="70"/>
      <c r="L49" s="70"/>
      <c r="M49" s="70"/>
      <c r="N49" s="70"/>
      <c r="O49" s="70"/>
      <c r="P49" s="70"/>
      <c r="Q49" s="70"/>
      <c r="R49" s="70"/>
      <c r="S49" s="70"/>
      <c r="T49" s="70"/>
      <c r="U49" s="1401"/>
      <c r="V49" s="1756" t="s">
        <v>56</v>
      </c>
    </row>
    <row r="50" spans="1:22" x14ac:dyDescent="0.2">
      <c r="A50" s="1752"/>
      <c r="B50" s="1217" t="str">
        <f>'F. resultad econ. glob. detalh'!A13</f>
        <v xml:space="preserve">           outras despesas:  ITR, impostos,juros, funrural, arrendamentos, etc. </v>
      </c>
      <c r="C50" s="1217"/>
      <c r="D50" s="1217"/>
      <c r="E50" s="1217"/>
      <c r="F50" s="1218">
        <f>'F. resultad econ. glob. detalh'!C13</f>
        <v>0</v>
      </c>
      <c r="G50" s="1217"/>
      <c r="H50" s="1217"/>
      <c r="I50" s="1217"/>
      <c r="J50" s="70"/>
      <c r="K50" s="70"/>
      <c r="L50" s="70"/>
      <c r="M50" s="70"/>
      <c r="N50" s="70"/>
      <c r="O50" s="70"/>
      <c r="P50" s="70"/>
      <c r="Q50" s="70"/>
      <c r="R50" s="70"/>
      <c r="S50" s="70"/>
      <c r="T50" s="70"/>
      <c r="U50" s="1401"/>
      <c r="V50" s="1756" t="s">
        <v>56</v>
      </c>
    </row>
    <row r="51" spans="1:22" x14ac:dyDescent="0.2">
      <c r="A51" s="1752"/>
      <c r="B51" s="1217" t="s">
        <v>196</v>
      </c>
      <c r="C51" s="1217"/>
      <c r="D51" s="1217"/>
      <c r="E51" s="1217"/>
      <c r="F51" s="1218">
        <f>'F. resultad econ. glob. detalh'!C16</f>
        <v>1</v>
      </c>
      <c r="G51" s="1217"/>
      <c r="H51" s="1217"/>
      <c r="I51" s="1217"/>
      <c r="J51" s="70"/>
      <c r="K51" s="70"/>
      <c r="L51" s="70"/>
      <c r="M51" s="70"/>
      <c r="N51" s="70"/>
      <c r="O51" s="70"/>
      <c r="P51" s="70"/>
      <c r="Q51" s="70"/>
      <c r="R51" s="70"/>
      <c r="S51" s="70"/>
      <c r="T51" s="70"/>
      <c r="U51" s="1401"/>
      <c r="V51" s="1756" t="s">
        <v>56</v>
      </c>
    </row>
    <row r="52" spans="1:22" x14ac:dyDescent="0.2">
      <c r="A52" s="1752"/>
      <c r="B52" s="1217"/>
      <c r="C52" s="1217"/>
      <c r="D52" s="1217"/>
      <c r="E52" s="1217"/>
      <c r="F52" s="1217"/>
      <c r="G52" s="1217"/>
      <c r="H52" s="1217"/>
      <c r="I52" s="1217"/>
      <c r="J52" s="70"/>
      <c r="K52" s="70"/>
      <c r="L52" s="70"/>
      <c r="M52" s="70"/>
      <c r="N52" s="70"/>
      <c r="O52" s="70"/>
      <c r="P52" s="70"/>
      <c r="Q52" s="70"/>
      <c r="R52" s="70"/>
      <c r="S52" s="70"/>
      <c r="T52" s="70"/>
      <c r="U52" s="1401"/>
      <c r="V52" s="1756" t="s">
        <v>56</v>
      </c>
    </row>
    <row r="53" spans="1:22" x14ac:dyDescent="0.2">
      <c r="A53" s="1752"/>
      <c r="B53" s="1217"/>
      <c r="C53" s="1217"/>
      <c r="D53" s="1217"/>
      <c r="E53" s="1217"/>
      <c r="F53" s="1217"/>
      <c r="G53" s="1217"/>
      <c r="H53" s="1217"/>
      <c r="I53" s="1217"/>
      <c r="J53" s="70"/>
      <c r="K53" s="70"/>
      <c r="L53" s="70"/>
      <c r="M53" s="70"/>
      <c r="N53" s="70"/>
      <c r="O53" s="70"/>
      <c r="P53" s="70"/>
      <c r="Q53" s="70"/>
      <c r="R53" s="70"/>
      <c r="S53" s="70"/>
      <c r="T53" s="70"/>
      <c r="U53" s="1401"/>
      <c r="V53" s="1756" t="s">
        <v>56</v>
      </c>
    </row>
    <row r="54" spans="1:22" x14ac:dyDescent="0.2">
      <c r="A54" s="1752"/>
      <c r="B54" s="1217"/>
      <c r="C54" s="1217"/>
      <c r="D54" s="1217"/>
      <c r="E54" s="1217"/>
      <c r="F54" s="1217"/>
      <c r="G54" s="1217"/>
      <c r="H54" s="1217"/>
      <c r="I54" s="1217"/>
      <c r="J54" s="70"/>
      <c r="K54" s="70"/>
      <c r="L54" s="70"/>
      <c r="M54" s="70"/>
      <c r="N54" s="70"/>
      <c r="O54" s="70"/>
      <c r="P54" s="70"/>
      <c r="Q54" s="70"/>
      <c r="R54" s="70"/>
      <c r="S54" s="70"/>
      <c r="T54" s="70"/>
      <c r="U54" s="1401"/>
      <c r="V54" s="1756" t="s">
        <v>56</v>
      </c>
    </row>
    <row r="55" spans="1:22" x14ac:dyDescent="0.2">
      <c r="A55" s="1752"/>
      <c r="B55" s="1217"/>
      <c r="C55" s="1217"/>
      <c r="D55" s="1217"/>
      <c r="E55" s="1217"/>
      <c r="F55" s="1217"/>
      <c r="G55" s="1217"/>
      <c r="H55" s="1217"/>
      <c r="I55" s="1217"/>
      <c r="J55" s="70"/>
      <c r="K55" s="70"/>
      <c r="L55" s="70"/>
      <c r="M55" s="70"/>
      <c r="N55" s="70"/>
      <c r="O55" s="70"/>
      <c r="P55" s="70"/>
      <c r="Q55" s="70"/>
      <c r="R55" s="70"/>
      <c r="S55" s="70"/>
      <c r="T55" s="70"/>
      <c r="U55" s="1401"/>
      <c r="V55" s="1756" t="s">
        <v>56</v>
      </c>
    </row>
    <row r="56" spans="1:22" x14ac:dyDescent="0.2">
      <c r="A56" s="1752"/>
      <c r="B56" s="1217"/>
      <c r="C56" s="1217"/>
      <c r="D56" s="1217"/>
      <c r="E56" s="1217"/>
      <c r="F56" s="1217"/>
      <c r="G56" s="1217"/>
      <c r="H56" s="1217"/>
      <c r="I56" s="1217"/>
      <c r="J56" s="70"/>
      <c r="K56" s="70"/>
      <c r="L56" s="70"/>
      <c r="M56" s="70"/>
      <c r="N56" s="70"/>
      <c r="O56" s="70"/>
      <c r="P56" s="70"/>
      <c r="Q56" s="70"/>
      <c r="R56" s="70"/>
      <c r="S56" s="70"/>
      <c r="T56" s="70"/>
      <c r="U56" s="1401"/>
      <c r="V56" s="1756" t="s">
        <v>56</v>
      </c>
    </row>
    <row r="57" spans="1:22" x14ac:dyDescent="0.2">
      <c r="A57" s="1752"/>
      <c r="B57" s="1217"/>
      <c r="C57" s="1217"/>
      <c r="D57" s="1217"/>
      <c r="E57" s="1217"/>
      <c r="F57" s="1217"/>
      <c r="G57" s="1217"/>
      <c r="H57" s="1217"/>
      <c r="I57" s="1217"/>
      <c r="J57" s="70"/>
      <c r="K57" s="70"/>
      <c r="L57" s="70"/>
      <c r="M57" s="70"/>
      <c r="N57" s="70"/>
      <c r="O57" s="70"/>
      <c r="P57" s="70"/>
      <c r="Q57" s="70"/>
      <c r="R57" s="70"/>
      <c r="S57" s="70"/>
      <c r="T57" s="70"/>
      <c r="U57" s="1401"/>
      <c r="V57" s="1756" t="s">
        <v>56</v>
      </c>
    </row>
    <row r="58" spans="1:22" x14ac:dyDescent="0.2">
      <c r="A58" s="1752"/>
      <c r="B58" s="1217"/>
      <c r="C58" s="1217"/>
      <c r="D58" s="1217"/>
      <c r="E58" s="1217"/>
      <c r="F58" s="1217"/>
      <c r="G58" s="1217"/>
      <c r="H58" s="1217"/>
      <c r="I58" s="1217"/>
      <c r="J58" s="70"/>
      <c r="K58" s="70"/>
      <c r="L58" s="70"/>
      <c r="M58" s="70"/>
      <c r="N58" s="70"/>
      <c r="O58" s="70"/>
      <c r="P58" s="70"/>
      <c r="Q58" s="70"/>
      <c r="R58" s="70"/>
      <c r="S58" s="70"/>
      <c r="T58" s="70"/>
      <c r="U58" s="1401"/>
      <c r="V58" s="1756" t="s">
        <v>56</v>
      </c>
    </row>
    <row r="59" spans="1:22" x14ac:dyDescent="0.2">
      <c r="A59" s="1752"/>
      <c r="B59" s="1217"/>
      <c r="C59" s="1217"/>
      <c r="D59" s="1217"/>
      <c r="E59" s="1217"/>
      <c r="F59" s="1217"/>
      <c r="G59" s="1217"/>
      <c r="H59" s="1217"/>
      <c r="I59" s="1217"/>
      <c r="J59" s="70"/>
      <c r="K59" s="70"/>
      <c r="L59" s="70"/>
      <c r="M59" s="70"/>
      <c r="N59" s="70"/>
      <c r="O59" s="70"/>
      <c r="P59" s="70"/>
      <c r="Q59" s="70"/>
      <c r="R59" s="70"/>
      <c r="S59" s="70"/>
      <c r="T59" s="70"/>
      <c r="U59" s="1401"/>
      <c r="V59" s="1756" t="s">
        <v>56</v>
      </c>
    </row>
    <row r="60" spans="1:22" x14ac:dyDescent="0.2">
      <c r="A60" s="1400"/>
      <c r="B60" s="70"/>
      <c r="C60" s="70"/>
      <c r="D60" s="70"/>
      <c r="E60" s="70"/>
      <c r="F60" s="70"/>
      <c r="G60" s="70"/>
      <c r="H60" s="70"/>
      <c r="I60" s="70"/>
      <c r="J60" s="70"/>
      <c r="K60" s="70"/>
      <c r="L60" s="70"/>
      <c r="M60" s="70"/>
      <c r="N60" s="70"/>
      <c r="O60" s="70"/>
      <c r="P60" s="70"/>
      <c r="Q60" s="70"/>
      <c r="R60" s="70"/>
      <c r="S60" s="70"/>
      <c r="T60" s="70"/>
      <c r="U60" s="1401"/>
      <c r="V60" s="1756" t="s">
        <v>56</v>
      </c>
    </row>
    <row r="61" spans="1:22" x14ac:dyDescent="0.2">
      <c r="A61" s="1400"/>
      <c r="B61" s="70"/>
      <c r="C61" s="70"/>
      <c r="D61" s="70"/>
      <c r="E61" s="70"/>
      <c r="F61" s="70"/>
      <c r="G61" s="70"/>
      <c r="H61" s="70"/>
      <c r="I61" s="70"/>
      <c r="J61" s="70"/>
      <c r="K61" s="70"/>
      <c r="L61" s="70"/>
      <c r="M61" s="70"/>
      <c r="N61" s="70"/>
      <c r="O61" s="70"/>
      <c r="P61" s="70"/>
      <c r="Q61" s="70"/>
      <c r="R61" s="70"/>
      <c r="S61" s="70"/>
      <c r="T61" s="70"/>
      <c r="U61" s="1401"/>
      <c r="V61" s="1756" t="s">
        <v>56</v>
      </c>
    </row>
    <row r="62" spans="1:22" x14ac:dyDescent="0.2">
      <c r="A62" s="1400"/>
      <c r="B62" s="70"/>
      <c r="C62" s="70"/>
      <c r="D62" s="70"/>
      <c r="E62" s="70"/>
      <c r="F62" s="70"/>
      <c r="G62" s="70"/>
      <c r="H62" s="70"/>
      <c r="I62" s="70"/>
      <c r="J62" s="70"/>
      <c r="K62" s="70"/>
      <c r="L62" s="70"/>
      <c r="M62" s="70"/>
      <c r="N62" s="70"/>
      <c r="O62" s="70"/>
      <c r="P62" s="70"/>
      <c r="Q62" s="70"/>
      <c r="R62" s="70"/>
      <c r="S62" s="70"/>
      <c r="T62" s="70"/>
      <c r="U62" s="1401"/>
      <c r="V62" s="1756" t="s">
        <v>56</v>
      </c>
    </row>
    <row r="63" spans="1:22" x14ac:dyDescent="0.2">
      <c r="A63" s="1400"/>
      <c r="B63" s="70"/>
      <c r="C63" s="70"/>
      <c r="D63" s="70"/>
      <c r="E63" s="70"/>
      <c r="F63" s="70"/>
      <c r="G63" s="70"/>
      <c r="H63" s="70"/>
      <c r="I63" s="70"/>
      <c r="J63" s="70"/>
      <c r="K63" s="70"/>
      <c r="L63" s="70"/>
      <c r="M63" s="70"/>
      <c r="N63" s="70"/>
      <c r="O63" s="70"/>
      <c r="P63" s="70"/>
      <c r="Q63" s="70"/>
      <c r="R63" s="70"/>
      <c r="S63" s="70"/>
      <c r="T63" s="70"/>
      <c r="U63" s="1401"/>
      <c r="V63" s="1756" t="s">
        <v>56</v>
      </c>
    </row>
    <row r="64" spans="1:22" x14ac:dyDescent="0.2">
      <c r="A64" s="1400"/>
      <c r="B64" s="70"/>
      <c r="C64" s="70"/>
      <c r="D64" s="70"/>
      <c r="E64" s="70"/>
      <c r="F64" s="70"/>
      <c r="G64" s="70"/>
      <c r="H64" s="70"/>
      <c r="I64" s="70"/>
      <c r="J64" s="70"/>
      <c r="K64" s="70"/>
      <c r="L64" s="70"/>
      <c r="M64" s="70"/>
      <c r="N64" s="70"/>
      <c r="O64" s="70"/>
      <c r="P64" s="70"/>
      <c r="Q64" s="70"/>
      <c r="R64" s="70"/>
      <c r="S64" s="70"/>
      <c r="T64" s="70"/>
      <c r="U64" s="1401"/>
      <c r="V64" s="1756" t="s">
        <v>56</v>
      </c>
    </row>
    <row r="65" spans="1:22" x14ac:dyDescent="0.2">
      <c r="A65" s="1400"/>
      <c r="B65" s="70"/>
      <c r="C65" s="70"/>
      <c r="D65" s="70"/>
      <c r="E65" s="70"/>
      <c r="F65" s="70"/>
      <c r="G65" s="70"/>
      <c r="H65" s="70"/>
      <c r="I65" s="70"/>
      <c r="J65" s="70"/>
      <c r="K65" s="70"/>
      <c r="L65" s="70"/>
      <c r="M65" s="70"/>
      <c r="N65" s="70"/>
      <c r="O65" s="70"/>
      <c r="P65" s="70"/>
      <c r="Q65" s="70"/>
      <c r="R65" s="70"/>
      <c r="S65" s="70"/>
      <c r="T65" s="70"/>
      <c r="U65" s="1401"/>
      <c r="V65" s="1756" t="s">
        <v>56</v>
      </c>
    </row>
    <row r="66" spans="1:22" x14ac:dyDescent="0.2">
      <c r="A66" s="1400"/>
      <c r="B66" s="70"/>
      <c r="C66" s="70"/>
      <c r="D66" s="70"/>
      <c r="E66" s="70"/>
      <c r="F66" s="70"/>
      <c r="G66" s="70"/>
      <c r="H66" s="70"/>
      <c r="I66" s="70"/>
      <c r="J66" s="70"/>
      <c r="K66" s="70"/>
      <c r="L66" s="70"/>
      <c r="M66" s="70"/>
      <c r="N66" s="70"/>
      <c r="O66" s="70"/>
      <c r="P66" s="70"/>
      <c r="Q66" s="70"/>
      <c r="R66" s="70"/>
      <c r="S66" s="70"/>
      <c r="T66" s="70"/>
      <c r="U66" s="1401"/>
      <c r="V66" s="1756" t="s">
        <v>56</v>
      </c>
    </row>
    <row r="67" spans="1:22" x14ac:dyDescent="0.2">
      <c r="A67" s="1400"/>
      <c r="B67" s="70"/>
      <c r="C67" s="70"/>
      <c r="D67" s="70"/>
      <c r="E67" s="70"/>
      <c r="F67" s="70"/>
      <c r="G67" s="70"/>
      <c r="H67" s="70"/>
      <c r="I67" s="70"/>
      <c r="J67" s="70"/>
      <c r="K67" s="70"/>
      <c r="L67" s="70"/>
      <c r="M67" s="70"/>
      <c r="N67" s="70"/>
      <c r="O67" s="70"/>
      <c r="P67" s="70"/>
      <c r="Q67" s="70"/>
      <c r="R67" s="70"/>
      <c r="S67" s="70"/>
      <c r="T67" s="70"/>
      <c r="U67" s="1401"/>
      <c r="V67" s="1756" t="s">
        <v>56</v>
      </c>
    </row>
    <row r="68" spans="1:22" x14ac:dyDescent="0.2">
      <c r="A68" s="1400"/>
      <c r="B68" s="70"/>
      <c r="C68" s="70"/>
      <c r="D68" s="70"/>
      <c r="E68" s="70"/>
      <c r="F68" s="70"/>
      <c r="G68" s="70"/>
      <c r="H68" s="70"/>
      <c r="I68" s="70"/>
      <c r="J68" s="70"/>
      <c r="K68" s="70"/>
      <c r="L68" s="70"/>
      <c r="M68" s="70"/>
      <c r="N68" s="70"/>
      <c r="O68" s="70"/>
      <c r="P68" s="70"/>
      <c r="Q68" s="70"/>
      <c r="R68" s="70"/>
      <c r="S68" s="70"/>
      <c r="T68" s="70"/>
      <c r="U68" s="1401"/>
      <c r="V68" s="1756" t="s">
        <v>56</v>
      </c>
    </row>
    <row r="69" spans="1:22" x14ac:dyDescent="0.2">
      <c r="A69" s="1400"/>
      <c r="B69" s="70"/>
      <c r="C69" s="70"/>
      <c r="D69" s="70"/>
      <c r="E69" s="70"/>
      <c r="F69" s="70"/>
      <c r="G69" s="70"/>
      <c r="H69" s="70"/>
      <c r="I69" s="70"/>
      <c r="J69" s="70"/>
      <c r="K69" s="70"/>
      <c r="L69" s="70"/>
      <c r="M69" s="70"/>
      <c r="N69" s="70"/>
      <c r="O69" s="70"/>
      <c r="P69" s="70"/>
      <c r="Q69" s="70"/>
      <c r="R69" s="70"/>
      <c r="S69" s="70"/>
      <c r="T69" s="70"/>
      <c r="U69" s="1401"/>
      <c r="V69" s="1756" t="s">
        <v>56</v>
      </c>
    </row>
    <row r="70" spans="1:22" x14ac:dyDescent="0.2">
      <c r="A70" s="1400"/>
      <c r="B70" s="70"/>
      <c r="C70" s="70"/>
      <c r="D70" s="70"/>
      <c r="E70" s="70"/>
      <c r="F70" s="70"/>
      <c r="G70" s="70"/>
      <c r="H70" s="70"/>
      <c r="I70" s="70"/>
      <c r="J70" s="70"/>
      <c r="K70" s="70"/>
      <c r="L70" s="70"/>
      <c r="M70" s="70"/>
      <c r="N70" s="70"/>
      <c r="O70" s="70"/>
      <c r="P70" s="70"/>
      <c r="Q70" s="70"/>
      <c r="R70" s="70"/>
      <c r="S70" s="70"/>
      <c r="T70" s="70"/>
      <c r="U70" s="1401"/>
      <c r="V70" s="1756" t="s">
        <v>56</v>
      </c>
    </row>
    <row r="71" spans="1:22" x14ac:dyDescent="0.2">
      <c r="A71" s="1400"/>
      <c r="B71" s="70"/>
      <c r="C71" s="70"/>
      <c r="D71" s="70"/>
      <c r="E71" s="70"/>
      <c r="F71" s="70"/>
      <c r="G71" s="70"/>
      <c r="H71" s="70"/>
      <c r="I71" s="70"/>
      <c r="J71" s="70"/>
      <c r="K71" s="70"/>
      <c r="L71" s="70"/>
      <c r="M71" s="70"/>
      <c r="N71" s="70"/>
      <c r="O71" s="70"/>
      <c r="P71" s="70"/>
      <c r="Q71" s="70"/>
      <c r="R71" s="70"/>
      <c r="S71" s="70"/>
      <c r="T71" s="70"/>
      <c r="U71" s="1401"/>
      <c r="V71" s="1756" t="s">
        <v>56</v>
      </c>
    </row>
    <row r="72" spans="1:22" x14ac:dyDescent="0.2">
      <c r="A72" s="1400"/>
      <c r="B72" s="70"/>
      <c r="C72" s="70"/>
      <c r="D72" s="70"/>
      <c r="E72" s="70"/>
      <c r="F72" s="70"/>
      <c r="G72" s="70"/>
      <c r="H72" s="70"/>
      <c r="I72" s="70"/>
      <c r="J72" s="70"/>
      <c r="K72" s="70"/>
      <c r="L72" s="70"/>
      <c r="M72" s="70"/>
      <c r="N72" s="70"/>
      <c r="O72" s="70"/>
      <c r="P72" s="70"/>
      <c r="Q72" s="70"/>
      <c r="R72" s="70"/>
      <c r="S72" s="70"/>
      <c r="T72" s="70"/>
      <c r="U72" s="1401"/>
      <c r="V72" s="1756" t="s">
        <v>56</v>
      </c>
    </row>
    <row r="73" spans="1:22" x14ac:dyDescent="0.2">
      <c r="A73" s="1400"/>
      <c r="B73" s="70"/>
      <c r="C73" s="70"/>
      <c r="D73" s="70"/>
      <c r="E73" s="70"/>
      <c r="F73" s="70"/>
      <c r="G73" s="70"/>
      <c r="H73" s="70"/>
      <c r="I73" s="70"/>
      <c r="J73" s="70"/>
      <c r="K73" s="70"/>
      <c r="L73" s="70"/>
      <c r="M73" s="70"/>
      <c r="N73" s="70"/>
      <c r="O73" s="70"/>
      <c r="P73" s="70"/>
      <c r="Q73" s="70"/>
      <c r="R73" s="70"/>
      <c r="S73" s="70"/>
      <c r="T73" s="70"/>
      <c r="U73" s="1401"/>
      <c r="V73" s="1756" t="s">
        <v>56</v>
      </c>
    </row>
    <row r="74" spans="1:22" x14ac:dyDescent="0.2">
      <c r="A74" s="1400"/>
      <c r="B74" s="70"/>
      <c r="C74" s="70"/>
      <c r="D74" s="70"/>
      <c r="E74" s="70"/>
      <c r="F74" s="70"/>
      <c r="G74" s="70"/>
      <c r="H74" s="70"/>
      <c r="I74" s="70"/>
      <c r="J74" s="70"/>
      <c r="K74" s="70"/>
      <c r="L74" s="70"/>
      <c r="M74" s="70"/>
      <c r="N74" s="70"/>
      <c r="O74" s="70"/>
      <c r="P74" s="70"/>
      <c r="Q74" s="70"/>
      <c r="R74" s="70"/>
      <c r="S74" s="70"/>
      <c r="T74" s="70"/>
      <c r="U74" s="1401"/>
      <c r="V74" s="1756" t="s">
        <v>56</v>
      </c>
    </row>
    <row r="75" spans="1:22" x14ac:dyDescent="0.2">
      <c r="A75" s="1400"/>
      <c r="B75" s="70"/>
      <c r="C75" s="70"/>
      <c r="D75" s="70"/>
      <c r="E75" s="70"/>
      <c r="F75" s="70"/>
      <c r="G75" s="70"/>
      <c r="H75" s="70"/>
      <c r="I75" s="70"/>
      <c r="J75" s="70"/>
      <c r="K75" s="70"/>
      <c r="L75" s="70"/>
      <c r="M75" s="70"/>
      <c r="N75" s="70"/>
      <c r="O75" s="70"/>
      <c r="P75" s="70"/>
      <c r="Q75" s="70"/>
      <c r="R75" s="70"/>
      <c r="S75" s="70"/>
      <c r="T75" s="70"/>
      <c r="U75" s="1401"/>
      <c r="V75" s="1756" t="s">
        <v>56</v>
      </c>
    </row>
    <row r="76" spans="1:22" x14ac:dyDescent="0.2">
      <c r="A76" s="1400"/>
      <c r="B76" s="70"/>
      <c r="C76" s="70"/>
      <c r="D76" s="70"/>
      <c r="E76" s="70"/>
      <c r="F76" s="70"/>
      <c r="G76" s="70"/>
      <c r="H76" s="70"/>
      <c r="I76" s="70"/>
      <c r="J76" s="70"/>
      <c r="K76" s="70"/>
      <c r="L76" s="70"/>
      <c r="M76" s="70"/>
      <c r="N76" s="70"/>
      <c r="O76" s="70"/>
      <c r="P76" s="70"/>
      <c r="Q76" s="70"/>
      <c r="R76" s="70"/>
      <c r="S76" s="70"/>
      <c r="T76" s="70"/>
      <c r="U76" s="1401"/>
      <c r="V76" s="1756" t="s">
        <v>56</v>
      </c>
    </row>
    <row r="77" spans="1:22" x14ac:dyDescent="0.2">
      <c r="A77" s="1400"/>
      <c r="B77" s="70"/>
      <c r="C77" s="70"/>
      <c r="D77" s="70"/>
      <c r="E77" s="70"/>
      <c r="F77" s="70"/>
      <c r="G77" s="70"/>
      <c r="H77" s="70"/>
      <c r="I77" s="70"/>
      <c r="J77" s="70"/>
      <c r="K77" s="70"/>
      <c r="L77" s="70"/>
      <c r="M77" s="70"/>
      <c r="N77" s="70"/>
      <c r="O77" s="70"/>
      <c r="P77" s="70"/>
      <c r="Q77" s="70"/>
      <c r="R77" s="70"/>
      <c r="S77" s="70"/>
      <c r="T77" s="70"/>
      <c r="U77" s="1401"/>
      <c r="V77" s="1756" t="s">
        <v>56</v>
      </c>
    </row>
    <row r="78" spans="1:22" x14ac:dyDescent="0.2">
      <c r="A78" s="1400"/>
      <c r="B78" s="70"/>
      <c r="C78" s="70"/>
      <c r="D78" s="70"/>
      <c r="E78" s="70"/>
      <c r="F78" s="70"/>
      <c r="G78" s="70"/>
      <c r="H78" s="70"/>
      <c r="I78" s="70"/>
      <c r="J78" s="70"/>
      <c r="K78" s="70"/>
      <c r="L78" s="70"/>
      <c r="M78" s="70"/>
      <c r="N78" s="70"/>
      <c r="O78" s="70"/>
      <c r="P78" s="70"/>
      <c r="Q78" s="70"/>
      <c r="R78" s="70"/>
      <c r="S78" s="70"/>
      <c r="T78" s="70"/>
      <c r="U78" s="1401"/>
      <c r="V78" s="1756" t="s">
        <v>56</v>
      </c>
    </row>
    <row r="79" spans="1:22" x14ac:dyDescent="0.2">
      <c r="A79" s="1400"/>
      <c r="B79" s="70"/>
      <c r="C79" s="70"/>
      <c r="D79" s="70"/>
      <c r="E79" s="70"/>
      <c r="F79" s="70"/>
      <c r="G79" s="70"/>
      <c r="H79" s="70"/>
      <c r="I79" s="70"/>
      <c r="J79" s="70"/>
      <c r="K79" s="70"/>
      <c r="L79" s="70"/>
      <c r="M79" s="70"/>
      <c r="N79" s="70"/>
      <c r="O79" s="70"/>
      <c r="P79" s="70"/>
      <c r="Q79" s="70"/>
      <c r="R79" s="70"/>
      <c r="S79" s="70"/>
      <c r="T79" s="70"/>
      <c r="U79" s="1401"/>
      <c r="V79" s="1756" t="s">
        <v>56</v>
      </c>
    </row>
    <row r="80" spans="1:22" x14ac:dyDescent="0.2">
      <c r="A80" s="1400"/>
      <c r="B80" s="70"/>
      <c r="C80" s="70"/>
      <c r="D80" s="70"/>
      <c r="E80" s="70"/>
      <c r="F80" s="70"/>
      <c r="G80" s="70"/>
      <c r="H80" s="70"/>
      <c r="I80" s="70"/>
      <c r="J80" s="70"/>
      <c r="K80" s="70"/>
      <c r="L80" s="70"/>
      <c r="M80" s="70"/>
      <c r="N80" s="70"/>
      <c r="O80" s="70"/>
      <c r="P80" s="70"/>
      <c r="Q80" s="70"/>
      <c r="R80" s="70"/>
      <c r="S80" s="70"/>
      <c r="T80" s="70"/>
      <c r="U80" s="1401"/>
      <c r="V80" s="1756" t="s">
        <v>56</v>
      </c>
    </row>
    <row r="81" spans="1:23" x14ac:dyDescent="0.2">
      <c r="A81" s="1400"/>
      <c r="B81" s="70"/>
      <c r="C81" s="70"/>
      <c r="D81" s="70"/>
      <c r="E81" s="70"/>
      <c r="F81" s="70"/>
      <c r="G81" s="70"/>
      <c r="H81" s="70"/>
      <c r="I81" s="70"/>
      <c r="J81" s="70"/>
      <c r="K81" s="70"/>
      <c r="L81" s="70"/>
      <c r="M81" s="70"/>
      <c r="N81" s="70"/>
      <c r="O81" s="70"/>
      <c r="P81" s="70"/>
      <c r="Q81" s="70"/>
      <c r="R81" s="70"/>
      <c r="S81" s="70"/>
      <c r="T81" s="70"/>
      <c r="U81" s="1401"/>
      <c r="V81" s="1756" t="s">
        <v>56</v>
      </c>
    </row>
    <row r="82" spans="1:23" x14ac:dyDescent="0.2">
      <c r="A82" s="1400"/>
      <c r="B82" s="70"/>
      <c r="C82" s="70"/>
      <c r="D82" s="70"/>
      <c r="E82" s="70"/>
      <c r="F82" s="70"/>
      <c r="G82" s="70"/>
      <c r="H82" s="70"/>
      <c r="I82" s="70"/>
      <c r="J82" s="70"/>
      <c r="K82" s="70"/>
      <c r="L82" s="70"/>
      <c r="M82" s="70"/>
      <c r="N82" s="70"/>
      <c r="O82" s="70"/>
      <c r="P82" s="70"/>
      <c r="Q82" s="70"/>
      <c r="R82" s="70"/>
      <c r="S82" s="70"/>
      <c r="T82" s="70"/>
      <c r="U82" s="1401"/>
      <c r="V82" s="1756" t="s">
        <v>56</v>
      </c>
    </row>
    <row r="83" spans="1:23" x14ac:dyDescent="0.2">
      <c r="A83" s="1400"/>
      <c r="B83" s="70"/>
      <c r="C83" s="70"/>
      <c r="D83" s="70"/>
      <c r="E83" s="70"/>
      <c r="F83" s="70"/>
      <c r="G83" s="70"/>
      <c r="H83" s="70"/>
      <c r="I83" s="70"/>
      <c r="J83" s="70"/>
      <c r="K83" s="70"/>
      <c r="L83" s="70"/>
      <c r="M83" s="70"/>
      <c r="N83" s="70"/>
      <c r="O83" s="70"/>
      <c r="P83" s="70"/>
      <c r="Q83" s="70"/>
      <c r="R83" s="70"/>
      <c r="S83" s="70"/>
      <c r="T83" s="70"/>
      <c r="U83" s="1401"/>
      <c r="V83" s="1756" t="s">
        <v>56</v>
      </c>
    </row>
    <row r="84" spans="1:23" x14ac:dyDescent="0.2">
      <c r="A84" s="1400"/>
      <c r="B84" s="70"/>
      <c r="C84" s="70"/>
      <c r="D84" s="70"/>
      <c r="E84" s="70"/>
      <c r="F84" s="70"/>
      <c r="G84" s="70"/>
      <c r="H84" s="70"/>
      <c r="I84" s="70"/>
      <c r="J84" s="70"/>
      <c r="K84" s="70"/>
      <c r="L84" s="70"/>
      <c r="M84" s="70"/>
      <c r="N84" s="70"/>
      <c r="O84" s="70"/>
      <c r="P84" s="70"/>
      <c r="Q84" s="70"/>
      <c r="R84" s="70"/>
      <c r="S84" s="70"/>
      <c r="T84" s="70"/>
      <c r="U84" s="1401"/>
      <c r="V84" s="1756" t="s">
        <v>56</v>
      </c>
    </row>
    <row r="85" spans="1:23" x14ac:dyDescent="0.2">
      <c r="A85" s="1400"/>
      <c r="B85" s="70"/>
      <c r="C85" s="70"/>
      <c r="D85" s="70"/>
      <c r="E85" s="70"/>
      <c r="F85" s="70"/>
      <c r="G85" s="70"/>
      <c r="H85" s="70"/>
      <c r="I85" s="70"/>
      <c r="J85" s="70"/>
      <c r="K85" s="70"/>
      <c r="L85" s="70"/>
      <c r="M85" s="70"/>
      <c r="N85" s="70"/>
      <c r="O85" s="70"/>
      <c r="P85" s="70"/>
      <c r="Q85" s="70"/>
      <c r="R85" s="70"/>
      <c r="S85" s="70"/>
      <c r="T85" s="70"/>
      <c r="U85" s="1401"/>
      <c r="V85" s="1756" t="s">
        <v>56</v>
      </c>
    </row>
    <row r="86" spans="1:23" x14ac:dyDescent="0.2">
      <c r="A86" s="1400"/>
      <c r="B86" s="70"/>
      <c r="C86" s="70"/>
      <c r="D86" s="70"/>
      <c r="E86" s="70"/>
      <c r="F86" s="70"/>
      <c r="G86" s="70"/>
      <c r="H86" s="70"/>
      <c r="I86" s="70"/>
      <c r="J86" s="70"/>
      <c r="K86" s="70"/>
      <c r="L86" s="70"/>
      <c r="M86" s="70"/>
      <c r="N86" s="70"/>
      <c r="O86" s="70"/>
      <c r="P86" s="70"/>
      <c r="Q86" s="70"/>
      <c r="R86" s="70"/>
      <c r="S86" s="70"/>
      <c r="T86" s="70"/>
      <c r="U86" s="1401"/>
      <c r="V86" s="1756" t="s">
        <v>56</v>
      </c>
    </row>
    <row r="87" spans="1:23" x14ac:dyDescent="0.2">
      <c r="A87" s="1400"/>
      <c r="B87" s="70"/>
      <c r="C87" s="70"/>
      <c r="D87" s="70"/>
      <c r="E87" s="70"/>
      <c r="F87" s="70"/>
      <c r="G87" s="70"/>
      <c r="H87" s="70"/>
      <c r="I87" s="70"/>
      <c r="J87" s="70"/>
      <c r="K87" s="70"/>
      <c r="L87" s="70"/>
      <c r="M87" s="70"/>
      <c r="N87" s="70"/>
      <c r="O87" s="70"/>
      <c r="P87" s="70"/>
      <c r="Q87" s="70"/>
      <c r="R87" s="70"/>
      <c r="S87" s="70"/>
      <c r="T87" s="70"/>
      <c r="U87" s="1401"/>
      <c r="V87" s="1756" t="s">
        <v>56</v>
      </c>
    </row>
    <row r="88" spans="1:23" x14ac:dyDescent="0.2">
      <c r="A88" s="1400"/>
      <c r="B88" s="70"/>
      <c r="C88" s="70"/>
      <c r="D88" s="70"/>
      <c r="E88" s="70"/>
      <c r="F88" s="70"/>
      <c r="G88" s="70"/>
      <c r="H88" s="70"/>
      <c r="I88" s="70"/>
      <c r="J88" s="70"/>
      <c r="K88" s="70"/>
      <c r="L88" s="70"/>
      <c r="M88" s="70"/>
      <c r="N88" s="70"/>
      <c r="O88" s="70"/>
      <c r="P88" s="70"/>
      <c r="Q88" s="70"/>
      <c r="R88" s="70"/>
      <c r="S88" s="70"/>
      <c r="T88" s="70"/>
      <c r="U88" s="1401"/>
      <c r="V88" s="1756" t="s">
        <v>56</v>
      </c>
    </row>
    <row r="89" spans="1:23" x14ac:dyDescent="0.2">
      <c r="A89" s="1400"/>
      <c r="B89" s="70"/>
      <c r="C89" s="70"/>
      <c r="D89" s="70"/>
      <c r="E89" s="70"/>
      <c r="F89" s="70"/>
      <c r="G89" s="70"/>
      <c r="H89" s="70"/>
      <c r="I89" s="70"/>
      <c r="J89" s="70"/>
      <c r="K89" s="70"/>
      <c r="L89" s="70"/>
      <c r="M89" s="70"/>
      <c r="N89" s="70"/>
      <c r="O89" s="70"/>
      <c r="P89" s="70"/>
      <c r="Q89" s="70"/>
      <c r="R89" s="70"/>
      <c r="S89" s="70"/>
      <c r="T89" s="70"/>
      <c r="U89" s="1401"/>
      <c r="V89" s="1756" t="s">
        <v>56</v>
      </c>
    </row>
    <row r="90" spans="1:23" ht="13.5" thickBot="1" x14ac:dyDescent="0.25">
      <c r="A90" s="1753"/>
      <c r="B90" s="1754"/>
      <c r="C90" s="1754"/>
      <c r="D90" s="1754"/>
      <c r="E90" s="1754"/>
      <c r="F90" s="1754"/>
      <c r="G90" s="1754"/>
      <c r="H90" s="1754"/>
      <c r="I90" s="1754"/>
      <c r="J90" s="1754"/>
      <c r="K90" s="1754"/>
      <c r="L90" s="1754"/>
      <c r="M90" s="1754"/>
      <c r="N90" s="1754"/>
      <c r="O90" s="1754"/>
      <c r="P90" s="1754"/>
      <c r="Q90" s="1754"/>
      <c r="R90" s="1754"/>
      <c r="S90" s="1754"/>
      <c r="T90" s="1754"/>
      <c r="U90" s="1755"/>
      <c r="V90" s="1756" t="s">
        <v>56</v>
      </c>
    </row>
    <row r="91" spans="1:23" x14ac:dyDescent="0.2">
      <c r="V91" s="1756" t="s">
        <v>56</v>
      </c>
    </row>
    <row r="92" spans="1:23" x14ac:dyDescent="0.2">
      <c r="V92" s="1756" t="s">
        <v>56</v>
      </c>
    </row>
    <row r="93" spans="1:23" x14ac:dyDescent="0.2">
      <c r="A93" s="1756" t="s">
        <v>56</v>
      </c>
      <c r="B93" s="1756" t="s">
        <v>56</v>
      </c>
      <c r="C93" s="1756" t="s">
        <v>56</v>
      </c>
      <c r="D93" s="1756" t="s">
        <v>56</v>
      </c>
      <c r="E93" s="1756" t="s">
        <v>56</v>
      </c>
      <c r="F93" s="1756" t="s">
        <v>56</v>
      </c>
      <c r="G93" s="1756" t="s">
        <v>56</v>
      </c>
      <c r="H93" s="1756" t="s">
        <v>56</v>
      </c>
      <c r="I93" s="1756" t="s">
        <v>56</v>
      </c>
      <c r="J93" s="1756" t="s">
        <v>56</v>
      </c>
      <c r="K93" s="1756" t="s">
        <v>56</v>
      </c>
      <c r="L93" s="1756" t="s">
        <v>56</v>
      </c>
      <c r="M93" s="1756" t="s">
        <v>56</v>
      </c>
      <c r="N93" s="1756" t="s">
        <v>56</v>
      </c>
      <c r="O93" s="1756" t="s">
        <v>56</v>
      </c>
      <c r="P93" s="1756" t="s">
        <v>56</v>
      </c>
      <c r="Q93" s="1756" t="s">
        <v>56</v>
      </c>
      <c r="R93" s="1756" t="s">
        <v>56</v>
      </c>
      <c r="S93" s="1756" t="s">
        <v>56</v>
      </c>
      <c r="T93" s="1756" t="s">
        <v>56</v>
      </c>
      <c r="U93" s="1756" t="s">
        <v>56</v>
      </c>
      <c r="V93" s="1756" t="s">
        <v>56</v>
      </c>
      <c r="W93" s="1756"/>
    </row>
    <row r="94" spans="1:23" x14ac:dyDescent="0.2">
      <c r="A94" s="1756" t="s">
        <v>56</v>
      </c>
      <c r="B94" s="1756" t="s">
        <v>56</v>
      </c>
      <c r="C94" s="1756" t="s">
        <v>56</v>
      </c>
      <c r="D94" s="1756" t="s">
        <v>56</v>
      </c>
      <c r="E94" s="1756" t="s">
        <v>56</v>
      </c>
      <c r="F94" s="1756" t="s">
        <v>56</v>
      </c>
      <c r="G94" s="1756" t="s">
        <v>56</v>
      </c>
      <c r="H94" s="1756" t="s">
        <v>56</v>
      </c>
      <c r="I94" s="1756" t="s">
        <v>56</v>
      </c>
      <c r="J94" s="1756" t="s">
        <v>56</v>
      </c>
      <c r="K94" s="1756" t="s">
        <v>56</v>
      </c>
      <c r="L94" s="1756" t="s">
        <v>56</v>
      </c>
      <c r="M94" s="1756" t="s">
        <v>56</v>
      </c>
      <c r="N94" s="1756" t="s">
        <v>56</v>
      </c>
      <c r="O94" s="1756" t="s">
        <v>56</v>
      </c>
      <c r="P94" s="1756" t="s">
        <v>56</v>
      </c>
      <c r="Q94" s="1756" t="s">
        <v>56</v>
      </c>
      <c r="R94" s="1756" t="s">
        <v>56</v>
      </c>
      <c r="S94" s="1756" t="s">
        <v>56</v>
      </c>
      <c r="T94" s="1756" t="s">
        <v>56</v>
      </c>
      <c r="U94" s="1756" t="s">
        <v>56</v>
      </c>
      <c r="V94" s="1756" t="s">
        <v>56</v>
      </c>
      <c r="W94" s="1756"/>
    </row>
    <row r="95" spans="1:23" x14ac:dyDescent="0.2">
      <c r="A95" s="1756" t="s">
        <v>56</v>
      </c>
      <c r="B95" s="1756" t="s">
        <v>56</v>
      </c>
      <c r="C95" s="1756" t="s">
        <v>56</v>
      </c>
      <c r="D95" s="1756" t="s">
        <v>56</v>
      </c>
      <c r="E95" s="1756" t="s">
        <v>56</v>
      </c>
      <c r="F95" s="1756" t="s">
        <v>56</v>
      </c>
      <c r="G95" s="1756" t="s">
        <v>56</v>
      </c>
      <c r="H95" s="1756" t="s">
        <v>56</v>
      </c>
      <c r="I95" s="1756" t="s">
        <v>56</v>
      </c>
      <c r="J95" s="1756" t="s">
        <v>56</v>
      </c>
      <c r="K95" s="1756" t="s">
        <v>56</v>
      </c>
      <c r="L95" s="1756" t="s">
        <v>56</v>
      </c>
      <c r="M95" s="1756" t="s">
        <v>56</v>
      </c>
      <c r="N95" s="1756" t="s">
        <v>56</v>
      </c>
      <c r="O95" s="1756" t="s">
        <v>56</v>
      </c>
      <c r="P95" s="1756" t="s">
        <v>56</v>
      </c>
      <c r="Q95" s="1756" t="s">
        <v>56</v>
      </c>
      <c r="R95" s="1756" t="s">
        <v>56</v>
      </c>
      <c r="S95" s="1756" t="s">
        <v>56</v>
      </c>
      <c r="T95" s="1756" t="s">
        <v>56</v>
      </c>
      <c r="U95" s="1756" t="s">
        <v>56</v>
      </c>
      <c r="V95" s="1756" t="s">
        <v>56</v>
      </c>
      <c r="W95" s="1756"/>
    </row>
    <row r="96" spans="1:23" x14ac:dyDescent="0.2">
      <c r="A96" s="1756" t="s">
        <v>56</v>
      </c>
      <c r="B96" s="1756" t="s">
        <v>56</v>
      </c>
      <c r="C96" s="1756" t="s">
        <v>56</v>
      </c>
      <c r="D96" s="1756" t="s">
        <v>56</v>
      </c>
      <c r="E96" s="1756" t="s">
        <v>56</v>
      </c>
      <c r="F96" s="1756" t="s">
        <v>56</v>
      </c>
      <c r="G96" s="1756" t="s">
        <v>56</v>
      </c>
      <c r="H96" s="1756" t="s">
        <v>56</v>
      </c>
      <c r="I96" s="1756" t="s">
        <v>56</v>
      </c>
      <c r="J96" s="1756" t="s">
        <v>56</v>
      </c>
      <c r="K96" s="1756" t="s">
        <v>56</v>
      </c>
      <c r="L96" s="1756" t="s">
        <v>56</v>
      </c>
      <c r="M96" s="1756" t="s">
        <v>56</v>
      </c>
      <c r="N96" s="1756" t="s">
        <v>56</v>
      </c>
      <c r="O96" s="1756" t="s">
        <v>56</v>
      </c>
      <c r="P96" s="1756" t="s">
        <v>56</v>
      </c>
      <c r="Q96" s="1756" t="s">
        <v>56</v>
      </c>
      <c r="R96" s="1756" t="s">
        <v>56</v>
      </c>
      <c r="S96" s="1756" t="s">
        <v>56</v>
      </c>
      <c r="T96" s="1756" t="s">
        <v>56</v>
      </c>
      <c r="U96" s="1756" t="s">
        <v>56</v>
      </c>
      <c r="V96" s="1756" t="s">
        <v>56</v>
      </c>
      <c r="W96" s="1756"/>
    </row>
    <row r="97" spans="1:23" x14ac:dyDescent="0.2">
      <c r="A97" s="1756" t="s">
        <v>56</v>
      </c>
      <c r="B97" s="1756" t="s">
        <v>56</v>
      </c>
      <c r="C97" s="1756" t="s">
        <v>56</v>
      </c>
      <c r="D97" s="1756" t="s">
        <v>56</v>
      </c>
      <c r="E97" s="1756" t="s">
        <v>56</v>
      </c>
      <c r="F97" s="1756" t="s">
        <v>56</v>
      </c>
      <c r="G97" s="1756" t="s">
        <v>56</v>
      </c>
      <c r="H97" s="1756" t="s">
        <v>56</v>
      </c>
      <c r="I97" s="1756" t="s">
        <v>56</v>
      </c>
      <c r="J97" s="1756" t="s">
        <v>56</v>
      </c>
      <c r="K97" s="1756" t="s">
        <v>56</v>
      </c>
      <c r="L97" s="1756" t="s">
        <v>56</v>
      </c>
      <c r="M97" s="1756" t="s">
        <v>56</v>
      </c>
      <c r="N97" s="1756" t="s">
        <v>56</v>
      </c>
      <c r="O97" s="1756" t="s">
        <v>56</v>
      </c>
      <c r="P97" s="1756" t="s">
        <v>56</v>
      </c>
      <c r="Q97" s="1756" t="s">
        <v>56</v>
      </c>
      <c r="R97" s="1756" t="s">
        <v>56</v>
      </c>
      <c r="S97" s="1756" t="s">
        <v>56</v>
      </c>
      <c r="T97" s="1756" t="s">
        <v>56</v>
      </c>
      <c r="U97" s="1756" t="s">
        <v>56</v>
      </c>
      <c r="V97" s="1756" t="s">
        <v>56</v>
      </c>
      <c r="W97" s="1756"/>
    </row>
    <row r="98" spans="1:23" x14ac:dyDescent="0.2">
      <c r="A98" s="1756" t="s">
        <v>56</v>
      </c>
      <c r="B98" s="1756" t="s">
        <v>56</v>
      </c>
      <c r="C98" s="1756" t="s">
        <v>56</v>
      </c>
      <c r="D98" s="1756" t="s">
        <v>56</v>
      </c>
      <c r="E98" s="1756" t="s">
        <v>56</v>
      </c>
      <c r="F98" s="1756" t="s">
        <v>56</v>
      </c>
      <c r="G98" s="1756" t="s">
        <v>56</v>
      </c>
      <c r="H98" s="1756" t="s">
        <v>56</v>
      </c>
      <c r="I98" s="1756" t="s">
        <v>56</v>
      </c>
      <c r="J98" s="1756" t="s">
        <v>56</v>
      </c>
      <c r="K98" s="1756" t="s">
        <v>56</v>
      </c>
      <c r="L98" s="1756" t="s">
        <v>56</v>
      </c>
      <c r="M98" s="1756" t="s">
        <v>56</v>
      </c>
      <c r="N98" s="1756" t="s">
        <v>56</v>
      </c>
      <c r="O98" s="1756" t="s">
        <v>56</v>
      </c>
      <c r="P98" s="1756" t="s">
        <v>56</v>
      </c>
      <c r="Q98" s="1756" t="s">
        <v>56</v>
      </c>
      <c r="R98" s="1756" t="s">
        <v>56</v>
      </c>
      <c r="S98" s="1756" t="s">
        <v>56</v>
      </c>
      <c r="T98" s="1756" t="s">
        <v>56</v>
      </c>
      <c r="U98" s="1756" t="s">
        <v>56</v>
      </c>
      <c r="V98" s="1756" t="s">
        <v>56</v>
      </c>
      <c r="W98" s="1756"/>
    </row>
  </sheetData>
  <sheetProtection selectLockedCells="1" selectUnlockedCells="1"/>
  <mergeCells count="19">
    <mergeCell ref="N22:R24"/>
    <mergeCell ref="K26:L26"/>
    <mergeCell ref="K22:L22"/>
    <mergeCell ref="K23:L23"/>
    <mergeCell ref="K25:L25"/>
    <mergeCell ref="Q9:T9"/>
    <mergeCell ref="K13:L13"/>
    <mergeCell ref="K14:L14"/>
    <mergeCell ref="K15:L15"/>
    <mergeCell ref="K8:T8"/>
    <mergeCell ref="K9:L10"/>
    <mergeCell ref="M9:P9"/>
    <mergeCell ref="A2:C2"/>
    <mergeCell ref="F2:J2"/>
    <mergeCell ref="K20:L20"/>
    <mergeCell ref="K16:L16"/>
    <mergeCell ref="K17:L17"/>
    <mergeCell ref="K18:L18"/>
    <mergeCell ref="K19:L19"/>
  </mergeCells>
  <phoneticPr fontId="93" type="noConversion"/>
  <pageMargins left="0.51181102362204722" right="0.51181102362204722" top="0.78740157480314965" bottom="0.78740157480314965" header="0.31496062992125984" footer="0.31496062992125984"/>
  <pageSetup paperSize="9" scale="41"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8"/>
  <dimension ref="A1:N115"/>
  <sheetViews>
    <sheetView view="pageBreakPreview" zoomScaleNormal="75" zoomScaleSheetLayoutView="100" workbookViewId="0">
      <selection activeCell="O27" sqref="O27"/>
    </sheetView>
  </sheetViews>
  <sheetFormatPr defaultColWidth="8.85546875" defaultRowHeight="12.75" x14ac:dyDescent="0.2"/>
  <cols>
    <col min="1" max="1" width="16.7109375" style="22" customWidth="1"/>
    <col min="2" max="10" width="8.85546875" style="22"/>
    <col min="11" max="11" width="21.28515625" style="22" customWidth="1"/>
    <col min="12" max="12" width="10.140625" style="22" customWidth="1"/>
    <col min="13" max="16384" width="8.85546875" style="22"/>
  </cols>
  <sheetData>
    <row r="1" spans="1:14" ht="13.5" thickBot="1" x14ac:dyDescent="0.25"/>
    <row r="2" spans="1:14" ht="13.5" thickBot="1" x14ac:dyDescent="0.25">
      <c r="A2" s="3283" t="str">
        <f>CADASTRO!C4</f>
        <v>Digitar o nome</v>
      </c>
      <c r="B2" s="3331"/>
      <c r="C2" s="3284"/>
      <c r="F2" s="3283">
        <f>CADASTRO!C12</f>
        <v>44013</v>
      </c>
      <c r="G2" s="3331"/>
      <c r="H2" s="3331"/>
      <c r="I2" s="3284"/>
    </row>
    <row r="10" spans="1:14" ht="13.5" thickBot="1" x14ac:dyDescent="0.25"/>
    <row r="11" spans="1:14" ht="36" customHeight="1" thickBot="1" x14ac:dyDescent="0.25">
      <c r="K11" s="3334" t="s">
        <v>543</v>
      </c>
      <c r="L11" s="3335"/>
      <c r="M11" s="946"/>
      <c r="N11" s="946"/>
    </row>
    <row r="12" spans="1:14" ht="38.25" x14ac:dyDescent="0.2">
      <c r="K12" s="947" t="s">
        <v>546</v>
      </c>
      <c r="L12" s="948" t="e">
        <f>' RESULT. DETALHE CUSTO LEITE'!D5</f>
        <v>#VALUE!</v>
      </c>
    </row>
    <row r="13" spans="1:14" ht="39" thickBot="1" x14ac:dyDescent="0.25">
      <c r="K13" s="949" t="s">
        <v>547</v>
      </c>
      <c r="L13" s="941" t="e">
        <f>' RESULT. DETALHE CUSTO LEITE'!D6</f>
        <v>#VALUE!</v>
      </c>
    </row>
    <row r="14" spans="1:14" x14ac:dyDescent="0.2">
      <c r="K14" s="30"/>
      <c r="L14" s="30"/>
    </row>
    <row r="15" spans="1:14" x14ac:dyDescent="0.2">
      <c r="K15" s="30"/>
      <c r="L15" s="30"/>
    </row>
    <row r="16" spans="1:14" x14ac:dyDescent="0.2">
      <c r="K16" s="30"/>
      <c r="L16" s="30"/>
    </row>
    <row r="17" spans="11:12" x14ac:dyDescent="0.2">
      <c r="K17" s="30"/>
      <c r="L17" s="30"/>
    </row>
    <row r="18" spans="11:12" x14ac:dyDescent="0.2">
      <c r="K18" s="30"/>
      <c r="L18" s="30"/>
    </row>
    <row r="19" spans="11:12" x14ac:dyDescent="0.2">
      <c r="K19" s="30"/>
      <c r="L19" s="30"/>
    </row>
    <row r="20" spans="11:12" x14ac:dyDescent="0.2">
      <c r="K20" s="30"/>
      <c r="L20" s="30"/>
    </row>
    <row r="21" spans="11:12" x14ac:dyDescent="0.2">
      <c r="K21" s="30"/>
      <c r="L21" s="30"/>
    </row>
    <row r="41" spans="1:11" x14ac:dyDescent="0.2">
      <c r="A41" s="950"/>
      <c r="B41" s="950"/>
      <c r="C41" s="950"/>
      <c r="D41" s="950"/>
      <c r="E41" s="950"/>
      <c r="F41" s="950"/>
      <c r="G41" s="950"/>
      <c r="H41" s="950"/>
      <c r="I41" s="950"/>
      <c r="J41" s="950"/>
      <c r="K41" s="950"/>
    </row>
    <row r="42" spans="1:11" x14ac:dyDescent="0.2">
      <c r="A42" s="951"/>
      <c r="B42" s="951"/>
      <c r="C42" s="951"/>
      <c r="D42" s="951"/>
      <c r="E42" s="951"/>
      <c r="F42" s="951"/>
      <c r="G42" s="950"/>
      <c r="H42" s="950"/>
      <c r="I42" s="950"/>
      <c r="J42" s="950"/>
      <c r="K42" s="950"/>
    </row>
    <row r="43" spans="1:11" x14ac:dyDescent="0.2">
      <c r="A43" s="951"/>
      <c r="B43" s="951"/>
      <c r="C43" s="951"/>
      <c r="D43" s="951"/>
      <c r="E43" s="951"/>
      <c r="F43" s="951"/>
      <c r="G43" s="950"/>
      <c r="H43" s="950"/>
      <c r="I43" s="950"/>
      <c r="J43" s="950"/>
      <c r="K43" s="950"/>
    </row>
    <row r="44" spans="1:11" x14ac:dyDescent="0.2">
      <c r="A44" s="951"/>
      <c r="B44" s="951"/>
      <c r="C44" s="951"/>
      <c r="D44" s="951"/>
      <c r="E44" s="951"/>
      <c r="F44" s="951"/>
      <c r="G44" s="950"/>
      <c r="H44" s="950"/>
      <c r="I44" s="950"/>
      <c r="J44" s="950"/>
      <c r="K44" s="950"/>
    </row>
    <row r="45" spans="1:11" x14ac:dyDescent="0.2">
      <c r="A45" s="951"/>
      <c r="B45" s="951"/>
      <c r="C45" s="951"/>
      <c r="D45" s="951"/>
      <c r="E45" s="951"/>
      <c r="F45" s="951"/>
      <c r="G45" s="950"/>
      <c r="H45" s="950"/>
      <c r="I45" s="950"/>
      <c r="J45" s="950"/>
      <c r="K45" s="950"/>
    </row>
    <row r="46" spans="1:11" x14ac:dyDescent="0.2">
      <c r="A46" s="951"/>
      <c r="B46" s="951"/>
      <c r="C46" s="951"/>
      <c r="D46" s="951"/>
      <c r="E46" s="951"/>
      <c r="F46" s="951"/>
      <c r="G46" s="950"/>
      <c r="H46" s="950"/>
      <c r="I46" s="950"/>
      <c r="J46" s="950"/>
      <c r="K46" s="950"/>
    </row>
    <row r="47" spans="1:11" x14ac:dyDescent="0.2">
      <c r="A47" s="951"/>
      <c r="B47" s="951"/>
      <c r="C47" s="951"/>
      <c r="D47" s="951"/>
      <c r="E47" s="951"/>
      <c r="F47" s="951"/>
      <c r="G47" s="950"/>
      <c r="H47" s="950"/>
      <c r="I47" s="950"/>
      <c r="J47" s="950"/>
      <c r="K47" s="950"/>
    </row>
    <row r="48" spans="1:11" x14ac:dyDescent="0.2">
      <c r="A48" s="951"/>
      <c r="B48" s="951"/>
      <c r="C48" s="951"/>
      <c r="D48" s="951"/>
      <c r="E48" s="951"/>
      <c r="F48" s="951"/>
      <c r="G48" s="950"/>
      <c r="H48" s="950"/>
      <c r="I48" s="950"/>
      <c r="J48" s="950"/>
      <c r="K48" s="950"/>
    </row>
    <row r="49" spans="1:13" x14ac:dyDescent="0.2">
      <c r="A49" s="951"/>
      <c r="B49" s="951"/>
      <c r="C49" s="951"/>
      <c r="D49" s="951"/>
      <c r="E49" s="951"/>
      <c r="F49" s="951"/>
      <c r="G49" s="951"/>
      <c r="H49" s="951"/>
      <c r="I49" s="951"/>
      <c r="J49" s="951"/>
      <c r="K49" s="951"/>
      <c r="L49" s="632"/>
      <c r="M49" s="632"/>
    </row>
    <row r="50" spans="1:13" x14ac:dyDescent="0.2">
      <c r="A50" s="951"/>
      <c r="B50" s="951"/>
      <c r="C50" s="951"/>
      <c r="D50" s="951"/>
      <c r="E50" s="951"/>
      <c r="F50" s="951"/>
      <c r="G50" s="951"/>
      <c r="H50" s="951"/>
      <c r="I50" s="951"/>
      <c r="J50" s="951"/>
      <c r="K50" s="951"/>
      <c r="L50" s="632"/>
      <c r="M50" s="632"/>
    </row>
    <row r="51" spans="1:13" x14ac:dyDescent="0.2">
      <c r="A51" s="951"/>
      <c r="B51" s="951"/>
      <c r="C51" s="951"/>
      <c r="D51" s="951"/>
      <c r="E51" s="951"/>
      <c r="F51" s="951"/>
      <c r="G51" s="951"/>
      <c r="H51" s="951"/>
      <c r="I51" s="951"/>
      <c r="J51" s="951"/>
      <c r="K51" s="951"/>
      <c r="L51" s="632"/>
      <c r="M51" s="632"/>
    </row>
    <row r="52" spans="1:13" x14ac:dyDescent="0.2">
      <c r="A52" s="951"/>
      <c r="B52" s="951"/>
      <c r="C52" s="951"/>
      <c r="D52" s="951"/>
      <c r="E52" s="951"/>
      <c r="F52" s="951"/>
      <c r="G52" s="951"/>
      <c r="H52" s="951"/>
      <c r="I52" s="951"/>
      <c r="J52" s="951"/>
      <c r="K52" s="951"/>
      <c r="L52" s="632"/>
      <c r="M52" s="632"/>
    </row>
    <row r="53" spans="1:13" x14ac:dyDescent="0.2">
      <c r="A53" s="951"/>
      <c r="B53" s="951"/>
      <c r="C53" s="951"/>
      <c r="D53" s="951"/>
      <c r="E53" s="951"/>
      <c r="F53" s="951"/>
      <c r="G53" s="951"/>
      <c r="H53" s="951"/>
      <c r="I53" s="951"/>
      <c r="J53" s="951"/>
      <c r="K53" s="951"/>
      <c r="L53" s="632"/>
      <c r="M53" s="632"/>
    </row>
    <row r="54" spans="1:13" x14ac:dyDescent="0.2">
      <c r="A54" s="951"/>
      <c r="B54" s="951"/>
      <c r="C54" s="951"/>
      <c r="D54" s="951"/>
      <c r="E54" s="951"/>
      <c r="F54" s="951"/>
      <c r="G54" s="951"/>
      <c r="H54" s="951"/>
      <c r="I54" s="951"/>
      <c r="J54" s="951"/>
      <c r="K54" s="951"/>
      <c r="L54" s="632"/>
      <c r="M54" s="632"/>
    </row>
    <row r="55" spans="1:13" x14ac:dyDescent="0.2">
      <c r="A55" s="951"/>
      <c r="B55" s="951"/>
      <c r="C55" s="951"/>
      <c r="D55" s="951"/>
      <c r="E55" s="951"/>
      <c r="F55" s="951"/>
      <c r="G55" s="951"/>
      <c r="H55" s="951"/>
      <c r="I55" s="951"/>
      <c r="J55" s="951"/>
      <c r="K55" s="951"/>
      <c r="L55" s="632"/>
      <c r="M55" s="632"/>
    </row>
    <row r="56" spans="1:13" x14ac:dyDescent="0.2">
      <c r="A56" s="951"/>
      <c r="B56" s="951"/>
      <c r="C56" s="951"/>
      <c r="D56" s="951"/>
      <c r="E56" s="951"/>
      <c r="F56" s="951"/>
      <c r="G56" s="951"/>
      <c r="H56" s="951"/>
      <c r="I56" s="951"/>
      <c r="J56" s="951"/>
      <c r="K56" s="951"/>
      <c r="L56" s="632"/>
      <c r="M56" s="632"/>
    </row>
    <row r="57" spans="1:13" x14ac:dyDescent="0.2">
      <c r="A57" s="951"/>
      <c r="B57" s="951"/>
      <c r="C57" s="951"/>
      <c r="D57" s="951"/>
      <c r="E57" s="951"/>
      <c r="F57" s="951"/>
      <c r="G57" s="951"/>
      <c r="H57" s="951"/>
      <c r="I57" s="951"/>
      <c r="J57" s="951"/>
      <c r="K57" s="951"/>
      <c r="L57" s="632"/>
      <c r="M57" s="632"/>
    </row>
    <row r="58" spans="1:13" x14ac:dyDescent="0.2">
      <c r="A58" s="951"/>
      <c r="B58" s="951"/>
      <c r="C58" s="951"/>
      <c r="D58" s="951"/>
      <c r="E58" s="951"/>
      <c r="F58" s="951"/>
      <c r="G58" s="951"/>
      <c r="H58" s="951"/>
      <c r="I58" s="951"/>
      <c r="J58" s="951"/>
      <c r="K58" s="951"/>
      <c r="L58" s="632"/>
      <c r="M58" s="632"/>
    </row>
    <row r="59" spans="1:13" x14ac:dyDescent="0.2">
      <c r="A59" s="951"/>
      <c r="B59" s="951"/>
      <c r="C59" s="951"/>
      <c r="D59" s="951"/>
      <c r="E59" s="951"/>
      <c r="F59" s="951"/>
      <c r="G59" s="951"/>
      <c r="H59" s="951"/>
      <c r="I59" s="951"/>
      <c r="J59" s="951"/>
      <c r="K59" s="951"/>
      <c r="L59" s="632"/>
      <c r="M59" s="632"/>
    </row>
    <row r="60" spans="1:13" x14ac:dyDescent="0.2">
      <c r="A60" s="951"/>
      <c r="B60" s="951"/>
      <c r="C60" s="951"/>
      <c r="D60" s="951"/>
      <c r="E60" s="951"/>
      <c r="F60" s="951"/>
      <c r="G60" s="951"/>
      <c r="H60" s="951"/>
      <c r="I60" s="951"/>
      <c r="J60" s="951"/>
      <c r="K60" s="951"/>
      <c r="L60" s="632"/>
      <c r="M60" s="632"/>
    </row>
    <row r="61" spans="1:13" x14ac:dyDescent="0.2">
      <c r="A61" s="951"/>
      <c r="B61" s="951"/>
      <c r="C61" s="951"/>
      <c r="D61" s="951"/>
      <c r="E61" s="951"/>
      <c r="F61" s="951"/>
      <c r="G61" s="951"/>
      <c r="H61" s="951"/>
      <c r="I61" s="951"/>
      <c r="J61" s="951"/>
      <c r="K61" s="951"/>
      <c r="L61" s="632"/>
      <c r="M61" s="632"/>
    </row>
    <row r="62" spans="1:13" x14ac:dyDescent="0.2">
      <c r="A62" s="951"/>
      <c r="B62" s="951"/>
      <c r="C62" s="951"/>
      <c r="D62" s="951"/>
      <c r="E62" s="951"/>
      <c r="F62" s="951"/>
      <c r="G62" s="951"/>
      <c r="H62" s="951"/>
      <c r="I62" s="951"/>
      <c r="J62" s="951"/>
      <c r="K62" s="951"/>
      <c r="L62" s="632"/>
      <c r="M62" s="632"/>
    </row>
    <row r="63" spans="1:13" x14ac:dyDescent="0.2">
      <c r="A63" s="951"/>
      <c r="B63" s="951"/>
      <c r="C63" s="951"/>
      <c r="D63" s="951"/>
      <c r="E63" s="951"/>
      <c r="F63" s="951"/>
      <c r="G63" s="951"/>
      <c r="H63" s="951"/>
      <c r="I63" s="951"/>
      <c r="J63" s="951"/>
      <c r="K63" s="951"/>
      <c r="L63" s="632"/>
      <c r="M63" s="632"/>
    </row>
    <row r="64" spans="1:13" x14ac:dyDescent="0.2">
      <c r="A64" s="951"/>
      <c r="B64" s="951"/>
      <c r="C64" s="951"/>
      <c r="D64" s="951"/>
      <c r="E64" s="951"/>
      <c r="F64" s="951"/>
      <c r="G64" s="951"/>
      <c r="H64" s="951"/>
      <c r="I64" s="951"/>
      <c r="J64" s="951"/>
      <c r="K64" s="951"/>
      <c r="L64" s="632"/>
      <c r="M64" s="632"/>
    </row>
    <row r="65" spans="1:13" x14ac:dyDescent="0.2">
      <c r="A65" s="951"/>
      <c r="B65" s="951"/>
      <c r="C65" s="951"/>
      <c r="D65" s="951"/>
      <c r="E65" s="951"/>
      <c r="F65" s="951"/>
      <c r="G65" s="951"/>
      <c r="H65" s="951"/>
      <c r="I65" s="951"/>
      <c r="J65" s="951"/>
      <c r="K65" s="951"/>
      <c r="L65" s="632"/>
      <c r="M65" s="632"/>
    </row>
    <row r="66" spans="1:13" x14ac:dyDescent="0.2">
      <c r="A66" s="951"/>
      <c r="B66" s="951"/>
      <c r="C66" s="951"/>
      <c r="D66" s="951"/>
      <c r="E66" s="951"/>
      <c r="F66" s="951"/>
      <c r="G66" s="951"/>
      <c r="H66" s="951"/>
      <c r="I66" s="951"/>
      <c r="J66" s="951"/>
      <c r="K66" s="951"/>
      <c r="L66" s="632"/>
      <c r="M66" s="632"/>
    </row>
    <row r="67" spans="1:13" x14ac:dyDescent="0.2">
      <c r="A67" s="951"/>
      <c r="B67" s="951"/>
      <c r="C67" s="951"/>
      <c r="D67" s="951"/>
      <c r="E67" s="951"/>
      <c r="F67" s="951"/>
      <c r="G67" s="951"/>
      <c r="H67" s="951"/>
      <c r="I67" s="951"/>
      <c r="J67" s="951"/>
      <c r="K67" s="951"/>
      <c r="L67" s="632"/>
      <c r="M67" s="632"/>
    </row>
    <row r="68" spans="1:13" x14ac:dyDescent="0.2">
      <c r="A68" s="951"/>
      <c r="B68" s="951"/>
      <c r="C68" s="951"/>
      <c r="D68" s="951"/>
      <c r="E68" s="951"/>
      <c r="F68" s="951"/>
      <c r="G68" s="951"/>
      <c r="H68" s="951"/>
      <c r="I68" s="951"/>
      <c r="J68" s="951"/>
      <c r="K68" s="951"/>
      <c r="L68" s="632"/>
      <c r="M68" s="632"/>
    </row>
    <row r="69" spans="1:13" x14ac:dyDescent="0.2">
      <c r="A69" s="951"/>
      <c r="B69" s="951"/>
      <c r="C69" s="951"/>
      <c r="D69" s="951"/>
      <c r="E69" s="951"/>
      <c r="F69" s="951"/>
      <c r="G69" s="951"/>
      <c r="H69" s="951"/>
      <c r="I69" s="951"/>
      <c r="J69" s="951"/>
      <c r="K69" s="951"/>
      <c r="L69" s="632"/>
      <c r="M69" s="632"/>
    </row>
    <row r="70" spans="1:13" x14ac:dyDescent="0.2">
      <c r="A70" s="951"/>
      <c r="B70" s="951"/>
      <c r="C70" s="951"/>
      <c r="D70" s="951"/>
      <c r="E70" s="951"/>
      <c r="F70" s="951"/>
      <c r="G70" s="951"/>
      <c r="H70" s="951"/>
      <c r="I70" s="951"/>
      <c r="J70" s="951"/>
      <c r="K70" s="951"/>
      <c r="L70" s="632"/>
      <c r="M70" s="632"/>
    </row>
    <row r="71" spans="1:13" x14ac:dyDescent="0.2">
      <c r="A71" s="951"/>
      <c r="B71" s="951"/>
      <c r="C71" s="951"/>
      <c r="D71" s="951"/>
      <c r="E71" s="951"/>
      <c r="F71" s="951"/>
      <c r="G71" s="951"/>
      <c r="H71" s="951"/>
      <c r="I71" s="951"/>
      <c r="J71" s="951"/>
      <c r="K71" s="951"/>
      <c r="L71" s="632"/>
      <c r="M71" s="632"/>
    </row>
    <row r="72" spans="1:13" x14ac:dyDescent="0.2">
      <c r="A72" s="951"/>
      <c r="B72" s="951"/>
      <c r="C72" s="951"/>
      <c r="D72" s="951"/>
      <c r="E72" s="951"/>
      <c r="F72" s="951"/>
      <c r="G72" s="951"/>
      <c r="H72" s="951"/>
      <c r="I72" s="951"/>
      <c r="J72" s="951"/>
      <c r="K72" s="951"/>
      <c r="L72" s="632"/>
      <c r="M72" s="632"/>
    </row>
    <row r="73" spans="1:13" x14ac:dyDescent="0.2">
      <c r="A73" s="951"/>
      <c r="B73" s="951"/>
      <c r="C73" s="951"/>
      <c r="D73" s="951"/>
      <c r="E73" s="951"/>
      <c r="F73" s="951"/>
      <c r="G73" s="951"/>
      <c r="H73" s="951"/>
      <c r="I73" s="951"/>
      <c r="J73" s="951"/>
      <c r="K73" s="951"/>
      <c r="L73" s="632"/>
      <c r="M73" s="632"/>
    </row>
    <row r="74" spans="1:13" x14ac:dyDescent="0.2">
      <c r="A74" s="951"/>
      <c r="B74" s="951"/>
      <c r="C74" s="951"/>
      <c r="D74" s="951"/>
      <c r="E74" s="951"/>
      <c r="F74" s="951"/>
      <c r="G74" s="951"/>
      <c r="H74" s="951"/>
      <c r="I74" s="951"/>
      <c r="J74" s="951"/>
      <c r="K74" s="951"/>
      <c r="L74" s="632"/>
      <c r="M74" s="632"/>
    </row>
    <row r="75" spans="1:13" x14ac:dyDescent="0.2">
      <c r="A75" s="951"/>
      <c r="B75" s="951"/>
      <c r="C75" s="951"/>
      <c r="D75" s="951"/>
      <c r="E75" s="951"/>
      <c r="F75" s="951"/>
      <c r="G75" s="951"/>
      <c r="H75" s="951"/>
      <c r="I75" s="951"/>
      <c r="J75" s="951"/>
      <c r="K75" s="951"/>
      <c r="L75" s="632"/>
      <c r="M75" s="632"/>
    </row>
    <row r="76" spans="1:13" x14ac:dyDescent="0.2">
      <c r="A76" s="951"/>
      <c r="B76" s="951"/>
      <c r="C76" s="951"/>
      <c r="D76" s="951"/>
      <c r="E76" s="951"/>
      <c r="F76" s="951"/>
      <c r="G76" s="951"/>
      <c r="H76" s="951"/>
      <c r="I76" s="951"/>
      <c r="J76" s="951"/>
      <c r="K76" s="951"/>
      <c r="L76" s="632"/>
      <c r="M76" s="632"/>
    </row>
    <row r="77" spans="1:13" x14ac:dyDescent="0.2">
      <c r="A77" s="951"/>
      <c r="B77" s="951"/>
      <c r="C77" s="951"/>
      <c r="D77" s="951"/>
      <c r="E77" s="951"/>
      <c r="F77" s="951"/>
      <c r="G77" s="951"/>
      <c r="H77" s="951"/>
      <c r="I77" s="951"/>
      <c r="J77" s="951"/>
      <c r="K77" s="951"/>
      <c r="L77" s="632"/>
      <c r="M77" s="632"/>
    </row>
    <row r="78" spans="1:13" x14ac:dyDescent="0.2">
      <c r="A78" s="951"/>
      <c r="B78" s="951"/>
      <c r="C78" s="951"/>
      <c r="D78" s="951"/>
      <c r="E78" s="951"/>
      <c r="F78" s="951"/>
      <c r="G78" s="951"/>
      <c r="H78" s="951"/>
      <c r="I78" s="951"/>
      <c r="J78" s="951"/>
      <c r="K78" s="951"/>
      <c r="L78" s="632"/>
      <c r="M78" s="632"/>
    </row>
    <row r="79" spans="1:13" x14ac:dyDescent="0.2">
      <c r="A79" s="951"/>
      <c r="B79" s="951"/>
      <c r="C79" s="951"/>
      <c r="D79" s="951"/>
      <c r="E79" s="951"/>
      <c r="F79" s="951"/>
      <c r="G79" s="951"/>
      <c r="H79" s="951"/>
      <c r="I79" s="951"/>
      <c r="J79" s="951"/>
      <c r="K79" s="951"/>
      <c r="L79" s="632"/>
      <c r="M79" s="632"/>
    </row>
    <row r="80" spans="1:13" x14ac:dyDescent="0.2">
      <c r="A80" s="951"/>
      <c r="B80" s="951"/>
      <c r="C80" s="951"/>
      <c r="D80" s="951"/>
      <c r="E80" s="951"/>
      <c r="F80" s="951"/>
      <c r="G80" s="951"/>
      <c r="H80" s="951"/>
      <c r="I80" s="951"/>
      <c r="J80" s="951"/>
      <c r="K80" s="951"/>
      <c r="L80" s="632"/>
      <c r="M80" s="632"/>
    </row>
    <row r="81" spans="1:13" x14ac:dyDescent="0.2">
      <c r="A81" s="951"/>
      <c r="B81" s="951"/>
      <c r="C81" s="951"/>
      <c r="D81" s="951"/>
      <c r="E81" s="951"/>
      <c r="F81" s="951"/>
      <c r="G81" s="951"/>
      <c r="H81" s="951"/>
      <c r="I81" s="951"/>
      <c r="J81" s="951"/>
      <c r="K81" s="951"/>
      <c r="L81" s="632"/>
      <c r="M81" s="632"/>
    </row>
    <row r="82" spans="1:13" x14ac:dyDescent="0.2">
      <c r="A82" s="951"/>
      <c r="B82" s="951"/>
      <c r="C82" s="951"/>
      <c r="D82" s="951"/>
      <c r="E82" s="951"/>
      <c r="F82" s="951"/>
      <c r="G82" s="951"/>
      <c r="H82" s="951"/>
      <c r="I82" s="951"/>
      <c r="J82" s="951"/>
      <c r="K82" s="951"/>
      <c r="L82" s="632"/>
      <c r="M82" s="632"/>
    </row>
    <row r="83" spans="1:13" x14ac:dyDescent="0.2">
      <c r="A83" s="951"/>
      <c r="B83" s="951"/>
      <c r="C83" s="951"/>
      <c r="D83" s="951"/>
      <c r="E83" s="951"/>
      <c r="F83" s="951"/>
      <c r="G83" s="951"/>
      <c r="H83" s="951"/>
      <c r="I83" s="951"/>
      <c r="J83" s="951"/>
      <c r="K83" s="951"/>
      <c r="L83" s="632"/>
      <c r="M83" s="632"/>
    </row>
    <row r="84" spans="1:13" x14ac:dyDescent="0.2">
      <c r="A84" s="951"/>
      <c r="B84" s="951"/>
      <c r="C84" s="951"/>
      <c r="D84" s="951"/>
      <c r="E84" s="951"/>
      <c r="F84" s="951"/>
      <c r="G84" s="951"/>
      <c r="H84" s="951"/>
      <c r="I84" s="951"/>
      <c r="J84" s="951"/>
      <c r="K84" s="951"/>
      <c r="L84" s="632"/>
      <c r="M84" s="632"/>
    </row>
    <row r="85" spans="1:13" x14ac:dyDescent="0.2">
      <c r="A85" s="951"/>
      <c r="B85" s="951"/>
      <c r="C85" s="951"/>
      <c r="D85" s="951"/>
      <c r="E85" s="951"/>
      <c r="F85" s="951"/>
      <c r="G85" s="951"/>
      <c r="H85" s="951"/>
      <c r="I85" s="951"/>
      <c r="J85" s="951"/>
      <c r="K85" s="951"/>
      <c r="L85" s="632"/>
      <c r="M85" s="632"/>
    </row>
    <row r="86" spans="1:13" x14ac:dyDescent="0.2">
      <c r="A86" s="951"/>
      <c r="B86" s="951"/>
      <c r="C86" s="951"/>
      <c r="D86" s="951"/>
      <c r="E86" s="951"/>
      <c r="F86" s="951"/>
      <c r="G86" s="951"/>
      <c r="H86" s="951"/>
      <c r="I86" s="951"/>
      <c r="J86" s="951"/>
      <c r="K86" s="951"/>
      <c r="L86" s="632"/>
      <c r="M86" s="632"/>
    </row>
    <row r="87" spans="1:13" x14ac:dyDescent="0.2">
      <c r="A87" s="951"/>
      <c r="B87" s="951"/>
      <c r="C87" s="951"/>
      <c r="D87" s="951"/>
      <c r="E87" s="951"/>
      <c r="F87" s="951"/>
      <c r="G87" s="951"/>
      <c r="H87" s="951"/>
      <c r="I87" s="951"/>
      <c r="J87" s="951"/>
      <c r="K87" s="951"/>
      <c r="L87" s="632"/>
      <c r="M87" s="632"/>
    </row>
    <row r="88" spans="1:13" x14ac:dyDescent="0.2">
      <c r="A88" s="951"/>
      <c r="B88" s="951"/>
      <c r="C88" s="951"/>
      <c r="D88" s="951"/>
      <c r="E88" s="951"/>
      <c r="F88" s="951"/>
      <c r="G88" s="951"/>
      <c r="H88" s="951"/>
      <c r="I88" s="951"/>
      <c r="J88" s="951"/>
      <c r="K88" s="951"/>
      <c r="L88" s="632"/>
      <c r="M88" s="632"/>
    </row>
    <row r="89" spans="1:13" x14ac:dyDescent="0.2">
      <c r="A89" s="951"/>
      <c r="B89" s="951"/>
      <c r="C89" s="951"/>
      <c r="D89" s="951"/>
      <c r="E89" s="951"/>
      <c r="F89" s="951"/>
      <c r="G89" s="951"/>
      <c r="H89" s="951"/>
      <c r="I89" s="951"/>
      <c r="J89" s="951"/>
      <c r="K89" s="951"/>
      <c r="L89" s="632"/>
      <c r="M89" s="632"/>
    </row>
    <row r="90" spans="1:13" hidden="1" x14ac:dyDescent="0.2">
      <c r="A90" s="951"/>
      <c r="B90" s="951"/>
      <c r="C90" s="951"/>
      <c r="D90" s="951"/>
      <c r="E90" s="951"/>
      <c r="F90" s="951"/>
      <c r="G90" s="951"/>
      <c r="H90" s="951"/>
      <c r="I90" s="951"/>
      <c r="J90" s="951"/>
      <c r="K90" s="951"/>
      <c r="L90" s="632"/>
      <c r="M90" s="632"/>
    </row>
    <row r="91" spans="1:13" hidden="1" x14ac:dyDescent="0.2">
      <c r="A91" s="951"/>
      <c r="B91" s="951"/>
      <c r="C91" s="951"/>
      <c r="D91" s="951"/>
      <c r="E91" s="951"/>
      <c r="F91" s="951"/>
      <c r="G91" s="951"/>
      <c r="H91" s="951"/>
      <c r="I91" s="951"/>
      <c r="J91" s="951"/>
      <c r="K91" s="951"/>
      <c r="L91" s="632"/>
      <c r="M91" s="632"/>
    </row>
    <row r="92" spans="1:13" hidden="1" x14ac:dyDescent="0.2">
      <c r="A92" s="951"/>
      <c r="B92" s="951"/>
      <c r="C92" s="951"/>
      <c r="D92" s="951"/>
      <c r="E92" s="951"/>
      <c r="F92" s="951"/>
      <c r="G92" s="951"/>
      <c r="H92" s="951"/>
      <c r="I92" s="951"/>
      <c r="J92" s="951"/>
      <c r="K92" s="951"/>
      <c r="L92" s="632"/>
      <c r="M92" s="632"/>
    </row>
    <row r="93" spans="1:13" hidden="1" x14ac:dyDescent="0.2">
      <c r="A93" s="951"/>
      <c r="B93" s="951"/>
      <c r="C93" s="951"/>
      <c r="D93" s="951"/>
      <c r="E93" s="951"/>
      <c r="F93" s="951"/>
      <c r="G93" s="951"/>
      <c r="H93" s="951"/>
      <c r="I93" s="951"/>
      <c r="J93" s="951"/>
      <c r="K93" s="951"/>
      <c r="L93" s="632"/>
      <c r="M93" s="632"/>
    </row>
    <row r="94" spans="1:13" hidden="1" x14ac:dyDescent="0.2">
      <c r="A94" s="951"/>
      <c r="B94" s="951"/>
      <c r="C94" s="951"/>
      <c r="D94" s="951"/>
      <c r="E94" s="951"/>
      <c r="F94" s="951"/>
      <c r="G94" s="951"/>
      <c r="H94" s="951"/>
      <c r="I94" s="951"/>
      <c r="J94" s="951"/>
      <c r="K94" s="951"/>
      <c r="L94" s="632"/>
      <c r="M94" s="632"/>
    </row>
    <row r="95" spans="1:13" hidden="1" x14ac:dyDescent="0.2">
      <c r="A95" s="951"/>
      <c r="B95" s="951"/>
      <c r="C95" s="951"/>
      <c r="D95" s="951"/>
      <c r="E95" s="951"/>
      <c r="F95" s="951"/>
      <c r="G95" s="951"/>
      <c r="H95" s="951"/>
      <c r="I95" s="951"/>
      <c r="J95" s="951"/>
      <c r="K95" s="951"/>
      <c r="L95" s="632"/>
      <c r="M95" s="632"/>
    </row>
    <row r="96" spans="1:13" hidden="1" x14ac:dyDescent="0.2">
      <c r="A96" s="951"/>
      <c r="B96" s="951"/>
      <c r="C96" s="951"/>
      <c r="D96" s="951"/>
      <c r="E96" s="951"/>
      <c r="F96" s="951"/>
      <c r="G96" s="951"/>
      <c r="H96" s="951"/>
      <c r="I96" s="951"/>
      <c r="J96" s="951"/>
      <c r="K96" s="951"/>
      <c r="L96" s="632"/>
      <c r="M96" s="632"/>
    </row>
    <row r="97" spans="1:13" ht="27" hidden="1" customHeight="1" x14ac:dyDescent="0.2">
      <c r="A97" s="3336" t="s">
        <v>552</v>
      </c>
      <c r="B97" s="3337"/>
      <c r="C97" s="3337"/>
      <c r="D97" s="3337"/>
      <c r="E97" s="954"/>
      <c r="F97" s="951"/>
      <c r="G97" s="951"/>
      <c r="H97" s="951"/>
      <c r="I97" s="951"/>
      <c r="J97" s="951"/>
      <c r="K97" s="951"/>
      <c r="L97" s="632"/>
      <c r="M97" s="632"/>
    </row>
    <row r="98" spans="1:13" hidden="1" x14ac:dyDescent="0.2">
      <c r="A98" s="3333" t="s">
        <v>431</v>
      </c>
      <c r="B98" s="3333"/>
      <c r="C98" s="3333"/>
      <c r="D98" s="955">
        <f ca="1">' RESULT. DETALHE CUSTO LEITE'!F59</f>
        <v>6.0827250608272508E-2</v>
      </c>
      <c r="E98" s="954"/>
      <c r="F98" s="952" t="s">
        <v>533</v>
      </c>
      <c r="G98" s="952"/>
      <c r="H98" s="956">
        <f ca="1">D98</f>
        <v>6.0827250608272508E-2</v>
      </c>
      <c r="I98" s="956"/>
      <c r="J98" s="956"/>
      <c r="K98" s="951"/>
      <c r="L98" s="632"/>
      <c r="M98" s="632"/>
    </row>
    <row r="99" spans="1:13" hidden="1" x14ac:dyDescent="0.2">
      <c r="A99" s="3333" t="s">
        <v>380</v>
      </c>
      <c r="B99" s="3333"/>
      <c r="C99" s="3333"/>
      <c r="D99" s="955">
        <f ca="1">' RESULT. DETALHE CUSTO LEITE'!F60</f>
        <v>0</v>
      </c>
      <c r="E99" s="954"/>
      <c r="F99" s="953" t="s">
        <v>553</v>
      </c>
      <c r="G99" s="953"/>
      <c r="H99" s="956">
        <f ca="1">SUM(D99:D106)</f>
        <v>0.93917274939172746</v>
      </c>
      <c r="I99" s="956"/>
      <c r="J99" s="956"/>
      <c r="K99" s="951"/>
      <c r="L99" s="632"/>
      <c r="M99" s="632"/>
    </row>
    <row r="100" spans="1:13" hidden="1" x14ac:dyDescent="0.2">
      <c r="A100" s="3333" t="s">
        <v>381</v>
      </c>
      <c r="B100" s="3333"/>
      <c r="C100" s="3333"/>
      <c r="D100" s="955">
        <f ca="1">' RESULT. DETALHE CUSTO LEITE'!F61</f>
        <v>0</v>
      </c>
      <c r="E100" s="954"/>
      <c r="F100" s="951"/>
      <c r="G100" s="951"/>
      <c r="H100" s="951"/>
      <c r="I100" s="951"/>
      <c r="J100" s="951"/>
      <c r="K100" s="951"/>
      <c r="L100" s="632"/>
      <c r="M100" s="632"/>
    </row>
    <row r="101" spans="1:13" hidden="1" x14ac:dyDescent="0.2">
      <c r="A101" s="3333" t="s">
        <v>382</v>
      </c>
      <c r="B101" s="3333"/>
      <c r="C101" s="3333"/>
      <c r="D101" s="955">
        <f ca="1">' RESULT. DETALHE CUSTO LEITE'!F62</f>
        <v>0</v>
      </c>
      <c r="E101" s="954"/>
      <c r="F101" s="951"/>
      <c r="G101" s="951"/>
      <c r="H101" s="951"/>
      <c r="I101" s="950"/>
      <c r="J101" s="950"/>
      <c r="K101" s="950"/>
    </row>
    <row r="102" spans="1:13" ht="28.9" hidden="1" customHeight="1" x14ac:dyDescent="0.2">
      <c r="A102" s="3332" t="s">
        <v>548</v>
      </c>
      <c r="B102" s="3332"/>
      <c r="C102" s="3332"/>
      <c r="D102" s="955">
        <f ca="1">' RESULT. DETALHE CUSTO LEITE'!F63</f>
        <v>0</v>
      </c>
      <c r="E102" s="954"/>
      <c r="F102" s="957"/>
      <c r="G102" s="951"/>
      <c r="H102" s="951"/>
      <c r="I102" s="950"/>
      <c r="J102" s="950"/>
      <c r="K102" s="950"/>
    </row>
    <row r="103" spans="1:13" ht="25.9" hidden="1" customHeight="1" x14ac:dyDescent="0.2">
      <c r="A103" s="3332" t="s">
        <v>549</v>
      </c>
      <c r="B103" s="3333"/>
      <c r="C103" s="3333"/>
      <c r="D103" s="955">
        <f ca="1">' RESULT. DETALHE CUSTO LEITE'!F64</f>
        <v>0</v>
      </c>
      <c r="E103" s="954"/>
      <c r="F103" s="954"/>
      <c r="G103" s="950"/>
      <c r="H103" s="950"/>
      <c r="I103" s="950"/>
      <c r="J103" s="950"/>
      <c r="K103" s="950"/>
    </row>
    <row r="104" spans="1:13" hidden="1" x14ac:dyDescent="0.2">
      <c r="A104" s="3332" t="s">
        <v>550</v>
      </c>
      <c r="B104" s="3333"/>
      <c r="C104" s="3333"/>
      <c r="D104" s="955">
        <f ca="1">' RESULT. DETALHE CUSTO LEITE'!F65</f>
        <v>0</v>
      </c>
      <c r="E104" s="954"/>
      <c r="F104" s="954"/>
      <c r="G104" s="950"/>
      <c r="H104" s="950"/>
      <c r="I104" s="950"/>
      <c r="J104" s="950"/>
      <c r="K104" s="950"/>
    </row>
    <row r="105" spans="1:13" hidden="1" x14ac:dyDescent="0.2">
      <c r="A105" s="3333" t="s">
        <v>383</v>
      </c>
      <c r="B105" s="3333"/>
      <c r="C105" s="3333"/>
      <c r="D105" s="955">
        <f ca="1">' RESULT. DETALHE CUSTO LEITE'!F66</f>
        <v>0</v>
      </c>
      <c r="E105" s="954"/>
      <c r="F105" s="954"/>
      <c r="G105" s="950"/>
      <c r="H105" s="950"/>
      <c r="I105" s="950"/>
      <c r="J105" s="950"/>
      <c r="K105" s="950"/>
    </row>
    <row r="106" spans="1:13" ht="25.15" hidden="1" customHeight="1" x14ac:dyDescent="0.2">
      <c r="A106" s="3332" t="s">
        <v>551</v>
      </c>
      <c r="B106" s="3333"/>
      <c r="C106" s="3333"/>
      <c r="D106" s="955">
        <f ca="1">' RESULT. DETALHE CUSTO LEITE'!F67</f>
        <v>0.93917274939172746</v>
      </c>
      <c r="E106" s="954"/>
      <c r="F106" s="954"/>
      <c r="G106" s="950"/>
      <c r="H106" s="950"/>
      <c r="I106" s="950"/>
      <c r="J106" s="950"/>
      <c r="K106" s="950"/>
    </row>
    <row r="107" spans="1:13" hidden="1" x14ac:dyDescent="0.2">
      <c r="A107" s="954"/>
      <c r="B107" s="954"/>
      <c r="C107" s="954"/>
      <c r="D107" s="954"/>
      <c r="E107" s="954"/>
      <c r="F107" s="954"/>
      <c r="G107" s="950"/>
      <c r="H107" s="950"/>
      <c r="I107" s="950"/>
      <c r="J107" s="950"/>
      <c r="K107" s="950"/>
    </row>
    <row r="108" spans="1:13" hidden="1" x14ac:dyDescent="0.2">
      <c r="A108" s="954"/>
      <c r="B108" s="954"/>
      <c r="C108" s="954"/>
      <c r="D108" s="954"/>
      <c r="E108" s="954"/>
      <c r="F108" s="954"/>
      <c r="G108" s="950"/>
      <c r="H108" s="950"/>
      <c r="I108" s="950"/>
      <c r="J108" s="950"/>
      <c r="K108" s="950"/>
    </row>
    <row r="109" spans="1:13" hidden="1" x14ac:dyDescent="0.2">
      <c r="A109" s="954"/>
      <c r="B109" s="954"/>
      <c r="C109" s="954"/>
      <c r="D109" s="954"/>
      <c r="E109" s="954"/>
      <c r="F109" s="954"/>
      <c r="G109" s="950"/>
      <c r="H109" s="950"/>
      <c r="I109" s="950"/>
      <c r="J109" s="950"/>
      <c r="K109" s="950"/>
    </row>
    <row r="110" spans="1:13" hidden="1" x14ac:dyDescent="0.2">
      <c r="A110" s="954"/>
      <c r="B110" s="954"/>
      <c r="C110" s="954"/>
      <c r="D110" s="954"/>
      <c r="E110" s="954"/>
      <c r="F110" s="954"/>
      <c r="G110" s="950"/>
      <c r="H110" s="950"/>
      <c r="I110" s="950"/>
      <c r="J110" s="950"/>
      <c r="K110" s="950"/>
    </row>
    <row r="111" spans="1:13" hidden="1" x14ac:dyDescent="0.2">
      <c r="A111" s="954"/>
      <c r="B111" s="954"/>
      <c r="C111" s="954"/>
      <c r="D111" s="954"/>
      <c r="E111" s="954"/>
      <c r="F111" s="954"/>
      <c r="G111" s="950"/>
      <c r="H111" s="950"/>
      <c r="I111" s="950"/>
      <c r="J111" s="950"/>
      <c r="K111" s="950"/>
    </row>
    <row r="112" spans="1:13" hidden="1" x14ac:dyDescent="0.2">
      <c r="A112" s="954"/>
      <c r="B112" s="954"/>
      <c r="C112" s="954"/>
      <c r="D112" s="954"/>
      <c r="E112" s="954"/>
      <c r="F112" s="954"/>
      <c r="G112" s="950"/>
      <c r="H112" s="950"/>
      <c r="I112" s="950"/>
      <c r="J112" s="950"/>
      <c r="K112" s="950"/>
    </row>
    <row r="113" hidden="1" x14ac:dyDescent="0.2"/>
    <row r="114" hidden="1" x14ac:dyDescent="0.2"/>
    <row r="115" hidden="1" x14ac:dyDescent="0.2"/>
  </sheetData>
  <sheetProtection password="85A7" sheet="1" objects="1" scenarios="1" selectLockedCells="1" selectUnlockedCells="1"/>
  <mergeCells count="13">
    <mergeCell ref="K11:L11"/>
    <mergeCell ref="A102:C102"/>
    <mergeCell ref="A103:C103"/>
    <mergeCell ref="A104:C104"/>
    <mergeCell ref="A97:D97"/>
    <mergeCell ref="A2:C2"/>
    <mergeCell ref="F2:I2"/>
    <mergeCell ref="A106:C106"/>
    <mergeCell ref="A98:C98"/>
    <mergeCell ref="A99:C99"/>
    <mergeCell ref="A100:C100"/>
    <mergeCell ref="A101:C101"/>
    <mergeCell ref="A105:C105"/>
  </mergeCells>
  <phoneticPr fontId="93" type="noConversion"/>
  <pageMargins left="0.42" right="0.28999999999999998" top="0.98425196850393704" bottom="0.98425196850393704" header="0.49" footer="0.51181102362204722"/>
  <pageSetup paperSize="9" scale="63"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9"/>
  <dimension ref="A1:E61"/>
  <sheetViews>
    <sheetView zoomScale="75" zoomScaleNormal="100" zoomScaleSheetLayoutView="100" workbookViewId="0">
      <selection activeCell="C23" sqref="C23"/>
    </sheetView>
  </sheetViews>
  <sheetFormatPr defaultColWidth="8.85546875" defaultRowHeight="12.75" x14ac:dyDescent="0.2"/>
  <cols>
    <col min="1" max="1" width="74.28515625" style="22" customWidth="1"/>
    <col min="2" max="2" width="20.85546875" style="22" customWidth="1"/>
    <col min="3" max="3" width="21.28515625" style="22" customWidth="1"/>
    <col min="4" max="4" width="15.7109375" style="22" customWidth="1"/>
    <col min="5" max="16384" width="8.85546875" style="22"/>
  </cols>
  <sheetData>
    <row r="1" spans="1:5" ht="13.5" thickBot="1" x14ac:dyDescent="0.25"/>
    <row r="2" spans="1:5" ht="13.5" thickBot="1" x14ac:dyDescent="0.25">
      <c r="A2" s="1638" t="str">
        <f>'J. RESULTADO ECON. GERAL LEITE '!A2:C2</f>
        <v>Digitar o nome</v>
      </c>
      <c r="B2" s="3342">
        <f>'J. RESULTADO ECON. GERAL LEITE '!F2</f>
        <v>44013</v>
      </c>
      <c r="C2" s="3343"/>
      <c r="D2" s="863" t="s">
        <v>56</v>
      </c>
    </row>
    <row r="3" spans="1:5" ht="23.25" x14ac:dyDescent="0.35">
      <c r="A3" s="3339" t="s">
        <v>581</v>
      </c>
      <c r="B3" s="3340"/>
      <c r="C3" s="3341"/>
      <c r="D3" s="863" t="s">
        <v>56</v>
      </c>
      <c r="E3" s="30"/>
    </row>
    <row r="4" spans="1:5" ht="15.75" x14ac:dyDescent="0.25">
      <c r="A4" s="3344" t="s">
        <v>715</v>
      </c>
      <c r="B4" s="3345"/>
      <c r="C4" s="1639" t="s">
        <v>87</v>
      </c>
      <c r="D4" s="863" t="s">
        <v>56</v>
      </c>
      <c r="E4" s="30"/>
    </row>
    <row r="5" spans="1:5" ht="15" x14ac:dyDescent="0.2">
      <c r="A5" s="3338" t="s">
        <v>701</v>
      </c>
      <c r="B5" s="3338"/>
      <c r="C5" s="1642" t="e">
        <f ca="1">'RESULTADOS ECON. LEITE DETALHE'!B45/'B. resultados tecnicos leite'!C25</f>
        <v>#DIV/0!</v>
      </c>
      <c r="D5" s="863" t="s">
        <v>56</v>
      </c>
      <c r="E5" s="30"/>
    </row>
    <row r="6" spans="1:5" ht="15" x14ac:dyDescent="0.2">
      <c r="A6" s="3338" t="s">
        <v>702</v>
      </c>
      <c r="B6" s="3338"/>
      <c r="C6" s="1642" t="e">
        <f ca="1">'F. resultad econ. glob. detalh'!B67/(REBANHO!C8+REBANHO!C9)</f>
        <v>#DIV/0!</v>
      </c>
      <c r="D6" s="863" t="s">
        <v>56</v>
      </c>
      <c r="E6" s="30"/>
    </row>
    <row r="7" spans="1:5" ht="15" x14ac:dyDescent="0.2">
      <c r="A7" s="3338" t="s">
        <v>703</v>
      </c>
      <c r="B7" s="3338"/>
      <c r="C7" s="1642" t="e">
        <f ca="1">'F. resultad econ. glob. detalh'!B65/(REBANHO!C8+REBANHO!C9)</f>
        <v>#DIV/0!</v>
      </c>
      <c r="D7" s="863" t="s">
        <v>56</v>
      </c>
      <c r="E7" s="30"/>
    </row>
    <row r="8" spans="1:5" ht="15" hidden="1" x14ac:dyDescent="0.2">
      <c r="A8" s="1640"/>
      <c r="B8" s="1640"/>
      <c r="C8" s="1642"/>
      <c r="D8" s="863" t="s">
        <v>56</v>
      </c>
      <c r="E8" s="30"/>
    </row>
    <row r="9" spans="1:5" ht="15" hidden="1" x14ac:dyDescent="0.2">
      <c r="A9" s="1640"/>
      <c r="B9" s="1640"/>
      <c r="C9" s="1642"/>
      <c r="D9" s="863" t="s">
        <v>56</v>
      </c>
      <c r="E9" s="30"/>
    </row>
    <row r="10" spans="1:5" ht="15" hidden="1" x14ac:dyDescent="0.2">
      <c r="A10" s="1640"/>
      <c r="B10" s="1640"/>
      <c r="C10" s="1642"/>
      <c r="D10" s="863" t="s">
        <v>56</v>
      </c>
      <c r="E10" s="30"/>
    </row>
    <row r="11" spans="1:5" ht="15" x14ac:dyDescent="0.2">
      <c r="A11" s="3338" t="s">
        <v>704</v>
      </c>
      <c r="B11" s="3338"/>
      <c r="C11" s="1642" t="e">
        <f ca="1">'F. resultad econ. glob. detalh'!B58/(REBANHO!C8+REBANHO!C9)</f>
        <v>#DIV/0!</v>
      </c>
      <c r="D11" s="863" t="s">
        <v>56</v>
      </c>
      <c r="E11" s="30"/>
    </row>
    <row r="12" spans="1:5" ht="15" x14ac:dyDescent="0.2">
      <c r="A12" s="3338" t="s">
        <v>705</v>
      </c>
      <c r="B12" s="3338"/>
      <c r="C12" s="1659" t="e">
        <f ca="1">'F. resultad econ. glob. detalh'!B65/' RESULT. DETALHE CUSTO LEITE'!F9</f>
        <v>#DIV/0!</v>
      </c>
      <c r="D12" s="863" t="s">
        <v>56</v>
      </c>
      <c r="E12" s="30"/>
    </row>
    <row r="13" spans="1:5" ht="15" x14ac:dyDescent="0.2">
      <c r="A13" s="3338" t="s">
        <v>706</v>
      </c>
      <c r="B13" s="3338"/>
      <c r="C13" s="1659" t="e">
        <f ca="1">'F. resultad econ. glob. detalh'!B58/' RESULT. DETALHE CUSTO LEITE'!F9</f>
        <v>#DIV/0!</v>
      </c>
      <c r="D13" s="863" t="s">
        <v>56</v>
      </c>
      <c r="E13" s="30"/>
    </row>
    <row r="14" spans="1:5" ht="15" x14ac:dyDescent="0.2">
      <c r="A14" s="3338" t="s">
        <v>707</v>
      </c>
      <c r="B14" s="3338"/>
      <c r="C14" s="1659" t="e">
        <f ca="1">'RESULTADOS ECON. LEITE DETALHE'!B45/'B. resultados tecnicos leite'!C21</f>
        <v>#DIV/0!</v>
      </c>
      <c r="D14" s="863" t="s">
        <v>56</v>
      </c>
      <c r="E14" s="30"/>
    </row>
    <row r="15" spans="1:5" ht="15" x14ac:dyDescent="0.2">
      <c r="A15" s="3338" t="s">
        <v>708</v>
      </c>
      <c r="B15" s="3338"/>
      <c r="C15" s="1659" t="e">
        <f ca="1">'F. resultad econ. glob. detalh'!B67/' RESULT. DETALHE CUSTO LEITE'!F9</f>
        <v>#DIV/0!</v>
      </c>
      <c r="D15" s="863" t="s">
        <v>56</v>
      </c>
      <c r="E15" s="30"/>
    </row>
    <row r="16" spans="1:5" ht="15" x14ac:dyDescent="0.2">
      <c r="A16" s="3338" t="s">
        <v>554</v>
      </c>
      <c r="B16" s="3338"/>
      <c r="C16" s="1659" t="e">
        <f>'F. resultad econ. glob. detalh'!B40/'B. resultados tecnicos leite'!C21</f>
        <v>#DIV/0!</v>
      </c>
      <c r="D16" s="863" t="s">
        <v>56</v>
      </c>
      <c r="E16" s="30"/>
    </row>
    <row r="17" spans="1:5" ht="15" x14ac:dyDescent="0.2">
      <c r="A17" s="3338" t="s">
        <v>709</v>
      </c>
      <c r="B17" s="3338"/>
      <c r="C17" s="1659" t="str">
        <f>PRODUÇÃO!D26</f>
        <v/>
      </c>
      <c r="D17" s="863" t="s">
        <v>56</v>
      </c>
      <c r="E17" s="30"/>
    </row>
    <row r="18" spans="1:5" ht="15" x14ac:dyDescent="0.2">
      <c r="A18" s="3338" t="s">
        <v>555</v>
      </c>
      <c r="B18" s="3338"/>
      <c r="C18" s="1642" t="e">
        <f ca="1">'RESULTADOS ECON. LEITE DETALHE'!B45/'G. RESULT. TEC.  AREA LEITE'!D10</f>
        <v>#DIV/0!</v>
      </c>
      <c r="D18" s="863" t="s">
        <v>56</v>
      </c>
      <c r="E18" s="30"/>
    </row>
    <row r="19" spans="1:5" ht="15" x14ac:dyDescent="0.2">
      <c r="A19" s="3338" t="s">
        <v>710</v>
      </c>
      <c r="B19" s="3338"/>
      <c r="C19" s="1642" t="e">
        <f ca="1">'F. resultad econ. glob. detalh'!B67/'G. RESULT. TEC.  AREA LEITE'!D10</f>
        <v>#DIV/0!</v>
      </c>
      <c r="D19" s="863" t="s">
        <v>56</v>
      </c>
      <c r="E19" s="30"/>
    </row>
    <row r="20" spans="1:5" ht="15" x14ac:dyDescent="0.2">
      <c r="A20" s="3338" t="s">
        <v>711</v>
      </c>
      <c r="B20" s="3338"/>
      <c r="C20" s="1642">
        <f ca="1">'F. resultad econ. glob. detalh'!B68/13</f>
        <v>813.55769230769226</v>
      </c>
      <c r="D20" s="863" t="s">
        <v>56</v>
      </c>
    </row>
    <row r="21" spans="1:5" ht="15" x14ac:dyDescent="0.2">
      <c r="A21" s="3338" t="s">
        <v>712</v>
      </c>
      <c r="B21" s="3338"/>
      <c r="C21" s="1642">
        <f ca="1">'F. resultad econ. glob. detalh'!B67/13</f>
        <v>1169.2307692307693</v>
      </c>
      <c r="D21" s="863" t="s">
        <v>56</v>
      </c>
    </row>
    <row r="22" spans="1:5" ht="15" x14ac:dyDescent="0.2">
      <c r="A22" s="1641" t="s">
        <v>713</v>
      </c>
      <c r="B22" s="1641">
        <f>PRODUÇÃO!B19</f>
        <v>0</v>
      </c>
      <c r="C22" s="1642" t="e">
        <f ca="1">'RESULT. OUTROS.'!D22</f>
        <v>#DIV/0!</v>
      </c>
      <c r="D22" s="863" t="s">
        <v>56</v>
      </c>
    </row>
    <row r="23" spans="1:5" ht="15" x14ac:dyDescent="0.2">
      <c r="A23" s="1641" t="s">
        <v>714</v>
      </c>
      <c r="B23" s="1641">
        <f>B22</f>
        <v>0</v>
      </c>
      <c r="C23" s="1642" t="e">
        <f ca="1">'resultados RESUMO CUSTOS'!C17</f>
        <v>#DIV/0!</v>
      </c>
      <c r="D23" s="863" t="s">
        <v>56</v>
      </c>
    </row>
    <row r="24" spans="1:5" ht="15" x14ac:dyDescent="0.2">
      <c r="A24" s="1641" t="s">
        <v>713</v>
      </c>
      <c r="B24" s="1222">
        <f>PRODUÇÃO!B20</f>
        <v>0</v>
      </c>
      <c r="C24" s="1643" t="e">
        <f ca="1">'resultados RESUMO CUSTOS'!D18</f>
        <v>#DIV/0!</v>
      </c>
      <c r="D24" s="863" t="s">
        <v>56</v>
      </c>
    </row>
    <row r="25" spans="1:5" ht="15" x14ac:dyDescent="0.2">
      <c r="A25" s="1641" t="s">
        <v>714</v>
      </c>
      <c r="B25" s="1222">
        <f>PRODUÇÃO!B20</f>
        <v>0</v>
      </c>
      <c r="C25" s="1643" t="e">
        <f ca="1">'resultados RESUMO CUSTOS'!C18</f>
        <v>#DIV/0!</v>
      </c>
      <c r="D25" s="863" t="s">
        <v>56</v>
      </c>
    </row>
    <row r="26" spans="1:5" ht="15" x14ac:dyDescent="0.2">
      <c r="A26" s="3346" t="s">
        <v>716</v>
      </c>
      <c r="B26" s="3346"/>
      <c r="C26" s="1643" t="e">
        <f>'resultados RESUMO CUSTOS'!E24</f>
        <v>#DIV/0!</v>
      </c>
      <c r="D26" s="863" t="s">
        <v>56</v>
      </c>
    </row>
    <row r="27" spans="1:5" ht="15" x14ac:dyDescent="0.2">
      <c r="A27" s="3346" t="s">
        <v>717</v>
      </c>
      <c r="B27" s="3346"/>
      <c r="C27" s="1222" t="e">
        <f ca="1">'resultados RESUMO CUSTOS'!F23</f>
        <v>#DIV/0!</v>
      </c>
      <c r="D27" s="863" t="s">
        <v>56</v>
      </c>
    </row>
    <row r="28" spans="1:5" ht="15" x14ac:dyDescent="0.2">
      <c r="A28" s="3346" t="s">
        <v>718</v>
      </c>
      <c r="B28" s="3346"/>
      <c r="C28" s="1222" t="e">
        <f ca="1">'resultados RESUMO CUSTOS'!E23</f>
        <v>#DIV/0!</v>
      </c>
      <c r="D28" s="863" t="s">
        <v>56</v>
      </c>
    </row>
    <row r="29" spans="1:5" ht="15" x14ac:dyDescent="0.2">
      <c r="A29" s="3346" t="s">
        <v>720</v>
      </c>
      <c r="B29" s="3346"/>
      <c r="C29" s="1643" t="e">
        <f ca="1">'resumo gastos CULTIVOS'!K24/'G. RESULT. TEC.  AREA LEITE'!I8</f>
        <v>#DIV/0!</v>
      </c>
      <c r="D29" s="863" t="s">
        <v>56</v>
      </c>
    </row>
    <row r="30" spans="1:5" ht="15" x14ac:dyDescent="0.2">
      <c r="A30" s="3346" t="s">
        <v>721</v>
      </c>
      <c r="B30" s="3346"/>
      <c r="C30" s="1643" t="e">
        <f ca="1">('resumo gastos CULTIVOS'!D24+'resumo gastos CULTIVOS'!E24+'resumo gastos CULTIVOS'!F24+'resumo gastos CULTIVOS'!H24)/'G. RESULT. TEC.  AREA LEITE'!I8</f>
        <v>#DIV/0!</v>
      </c>
      <c r="D30" s="863" t="s">
        <v>56</v>
      </c>
    </row>
    <row r="31" spans="1:5" x14ac:dyDescent="0.2">
      <c r="A31" s="59"/>
      <c r="B31" s="30"/>
      <c r="C31" s="60"/>
      <c r="D31" s="863" t="s">
        <v>56</v>
      </c>
    </row>
    <row r="32" spans="1:5" x14ac:dyDescent="0.2">
      <c r="A32" s="59"/>
      <c r="B32" s="30"/>
      <c r="C32" s="60"/>
      <c r="D32" s="863" t="s">
        <v>56</v>
      </c>
    </row>
    <row r="33" spans="1:4" x14ac:dyDescent="0.2">
      <c r="A33" s="59"/>
      <c r="B33" s="30"/>
      <c r="C33" s="60"/>
      <c r="D33" s="863" t="s">
        <v>56</v>
      </c>
    </row>
    <row r="34" spans="1:4" x14ac:dyDescent="0.2">
      <c r="A34" s="59"/>
      <c r="B34" s="30"/>
      <c r="C34" s="60"/>
      <c r="D34" s="863" t="s">
        <v>56</v>
      </c>
    </row>
    <row r="35" spans="1:4" x14ac:dyDescent="0.2">
      <c r="A35" s="59"/>
      <c r="B35" s="30"/>
      <c r="C35" s="60"/>
      <c r="D35" s="863" t="s">
        <v>56</v>
      </c>
    </row>
    <row r="36" spans="1:4" x14ac:dyDescent="0.2">
      <c r="A36" s="59"/>
      <c r="B36" s="30"/>
      <c r="C36" s="60"/>
      <c r="D36" s="863" t="s">
        <v>56</v>
      </c>
    </row>
    <row r="37" spans="1:4" x14ac:dyDescent="0.2">
      <c r="A37" s="59"/>
      <c r="B37" s="30"/>
      <c r="C37" s="60"/>
      <c r="D37" s="863" t="s">
        <v>56</v>
      </c>
    </row>
    <row r="38" spans="1:4" x14ac:dyDescent="0.2">
      <c r="A38" s="59"/>
      <c r="B38" s="30"/>
      <c r="C38" s="60"/>
      <c r="D38" s="863" t="s">
        <v>56</v>
      </c>
    </row>
    <row r="39" spans="1:4" x14ac:dyDescent="0.2">
      <c r="A39" s="59"/>
      <c r="B39" s="30"/>
      <c r="C39" s="60"/>
      <c r="D39" s="863" t="s">
        <v>56</v>
      </c>
    </row>
    <row r="40" spans="1:4" x14ac:dyDescent="0.2">
      <c r="A40" s="59"/>
      <c r="B40" s="30"/>
      <c r="C40" s="60"/>
      <c r="D40" s="863" t="s">
        <v>56</v>
      </c>
    </row>
    <row r="41" spans="1:4" x14ac:dyDescent="0.2">
      <c r="A41" s="59"/>
      <c r="B41" s="30"/>
      <c r="C41" s="60"/>
      <c r="D41" s="863" t="s">
        <v>56</v>
      </c>
    </row>
    <row r="42" spans="1:4" x14ac:dyDescent="0.2">
      <c r="A42" s="59"/>
      <c r="B42" s="30"/>
      <c r="C42" s="60"/>
      <c r="D42" s="863" t="s">
        <v>56</v>
      </c>
    </row>
    <row r="43" spans="1:4" x14ac:dyDescent="0.2">
      <c r="A43" s="59"/>
      <c r="B43" s="30"/>
      <c r="C43" s="60"/>
      <c r="D43" s="863" t="s">
        <v>56</v>
      </c>
    </row>
    <row r="44" spans="1:4" x14ac:dyDescent="0.2">
      <c r="A44" s="59"/>
      <c r="B44" s="30"/>
      <c r="C44" s="60"/>
      <c r="D44" s="863" t="s">
        <v>56</v>
      </c>
    </row>
    <row r="45" spans="1:4" x14ac:dyDescent="0.2">
      <c r="A45" s="59"/>
      <c r="B45" s="30"/>
      <c r="C45" s="60"/>
      <c r="D45" s="863" t="s">
        <v>56</v>
      </c>
    </row>
    <row r="46" spans="1:4" x14ac:dyDescent="0.2">
      <c r="A46" s="59"/>
      <c r="B46" s="30"/>
      <c r="C46" s="60"/>
      <c r="D46" s="863" t="s">
        <v>56</v>
      </c>
    </row>
    <row r="47" spans="1:4" x14ac:dyDescent="0.2">
      <c r="A47" s="59"/>
      <c r="B47" s="30"/>
      <c r="C47" s="60"/>
      <c r="D47" s="863" t="s">
        <v>56</v>
      </c>
    </row>
    <row r="48" spans="1:4" x14ac:dyDescent="0.2">
      <c r="A48" s="59"/>
      <c r="B48" s="30"/>
      <c r="C48" s="60"/>
      <c r="D48" s="863" t="s">
        <v>56</v>
      </c>
    </row>
    <row r="49" spans="1:4" x14ac:dyDescent="0.2">
      <c r="A49" s="59"/>
      <c r="B49" s="30"/>
      <c r="C49" s="60"/>
      <c r="D49" s="863" t="s">
        <v>56</v>
      </c>
    </row>
    <row r="50" spans="1:4" x14ac:dyDescent="0.2">
      <c r="A50" s="59"/>
      <c r="B50" s="30"/>
      <c r="C50" s="60"/>
      <c r="D50" s="863" t="s">
        <v>56</v>
      </c>
    </row>
    <row r="51" spans="1:4" x14ac:dyDescent="0.2">
      <c r="A51" s="59"/>
      <c r="B51" s="30"/>
      <c r="C51" s="60"/>
      <c r="D51" s="863" t="s">
        <v>56</v>
      </c>
    </row>
    <row r="52" spans="1:4" x14ac:dyDescent="0.2">
      <c r="A52" s="59"/>
      <c r="B52" s="30"/>
      <c r="C52" s="60"/>
      <c r="D52" s="863" t="s">
        <v>56</v>
      </c>
    </row>
    <row r="53" spans="1:4" x14ac:dyDescent="0.2">
      <c r="A53" s="59"/>
      <c r="B53" s="30"/>
      <c r="C53" s="60"/>
      <c r="D53" s="863" t="s">
        <v>56</v>
      </c>
    </row>
    <row r="54" spans="1:4" x14ac:dyDescent="0.2">
      <c r="A54" s="59"/>
      <c r="B54" s="30"/>
      <c r="C54" s="60"/>
      <c r="D54" s="863" t="s">
        <v>56</v>
      </c>
    </row>
    <row r="55" spans="1:4" ht="13.5" thickBot="1" x14ac:dyDescent="0.25">
      <c r="A55" s="1073"/>
      <c r="B55" s="973"/>
      <c r="C55" s="974"/>
      <c r="D55" s="863" t="s">
        <v>56</v>
      </c>
    </row>
    <row r="56" spans="1:4" x14ac:dyDescent="0.2">
      <c r="D56" s="863" t="s">
        <v>56</v>
      </c>
    </row>
    <row r="57" spans="1:4" x14ac:dyDescent="0.2">
      <c r="A57" s="863" t="s">
        <v>20</v>
      </c>
      <c r="B57" s="863" t="s">
        <v>56</v>
      </c>
      <c r="C57" s="863" t="s">
        <v>56</v>
      </c>
      <c r="D57" s="863" t="s">
        <v>56</v>
      </c>
    </row>
    <row r="58" spans="1:4" x14ac:dyDescent="0.2">
      <c r="A58" s="863" t="s">
        <v>20</v>
      </c>
      <c r="B58" s="863" t="s">
        <v>56</v>
      </c>
      <c r="C58" s="863" t="s">
        <v>56</v>
      </c>
      <c r="D58" s="863" t="s">
        <v>56</v>
      </c>
    </row>
    <row r="59" spans="1:4" x14ac:dyDescent="0.2">
      <c r="A59" s="863" t="s">
        <v>20</v>
      </c>
      <c r="B59" s="863" t="s">
        <v>56</v>
      </c>
      <c r="C59" s="863" t="s">
        <v>56</v>
      </c>
      <c r="D59" s="863" t="s">
        <v>56</v>
      </c>
    </row>
    <row r="60" spans="1:4" x14ac:dyDescent="0.2">
      <c r="A60" s="863" t="s">
        <v>20</v>
      </c>
      <c r="B60" s="863" t="s">
        <v>56</v>
      </c>
      <c r="C60" s="863" t="s">
        <v>56</v>
      </c>
      <c r="D60" s="863" t="s">
        <v>56</v>
      </c>
    </row>
    <row r="61" spans="1:4" x14ac:dyDescent="0.2">
      <c r="A61" s="863" t="s">
        <v>20</v>
      </c>
      <c r="B61" s="863" t="s">
        <v>56</v>
      </c>
      <c r="C61" s="863" t="s">
        <v>56</v>
      </c>
    </row>
  </sheetData>
  <mergeCells count="22">
    <mergeCell ref="A19:B19"/>
    <mergeCell ref="A20:B20"/>
    <mergeCell ref="A13:B13"/>
    <mergeCell ref="A14:B14"/>
    <mergeCell ref="A17:B17"/>
    <mergeCell ref="A18:B18"/>
    <mergeCell ref="A15:B15"/>
    <mergeCell ref="A16:B16"/>
    <mergeCell ref="A29:B29"/>
    <mergeCell ref="A30:B30"/>
    <mergeCell ref="A21:B21"/>
    <mergeCell ref="A26:B26"/>
    <mergeCell ref="A27:B27"/>
    <mergeCell ref="A28:B28"/>
    <mergeCell ref="A11:B11"/>
    <mergeCell ref="A12:B12"/>
    <mergeCell ref="A3:C3"/>
    <mergeCell ref="B2:C2"/>
    <mergeCell ref="A4:B4"/>
    <mergeCell ref="A5:B5"/>
    <mergeCell ref="A6:B6"/>
    <mergeCell ref="A7:B7"/>
  </mergeCells>
  <phoneticPr fontId="93" type="noConversion"/>
  <printOptions gridLines="1"/>
  <pageMargins left="0.78740157499999996" right="0.78740157499999996" top="0.984251969" bottom="0.984251969" header="0.49212598499999999" footer="0.49212598499999999"/>
  <pageSetup paperSize="9" scale="74"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0"/>
  <dimension ref="A1:C46"/>
  <sheetViews>
    <sheetView zoomScale="75" zoomScaleNormal="75" workbookViewId="0">
      <selection activeCell="B7" sqref="B7"/>
    </sheetView>
  </sheetViews>
  <sheetFormatPr defaultColWidth="8.85546875" defaultRowHeight="12.75" x14ac:dyDescent="0.2"/>
  <cols>
    <col min="1" max="1" width="83.42578125" style="22" customWidth="1"/>
    <col min="2" max="2" width="20.28515625" style="22" customWidth="1"/>
    <col min="3" max="3" width="15.7109375" style="22" customWidth="1"/>
    <col min="4" max="16384" width="8.85546875" style="22"/>
  </cols>
  <sheetData>
    <row r="1" spans="1:3" ht="13.5" thickBot="1" x14ac:dyDescent="0.25"/>
    <row r="2" spans="1:3" ht="13.5" thickBot="1" x14ac:dyDescent="0.25">
      <c r="A2" s="1074" t="str">
        <f>'K. RESULTADOS ECON. LEITE'!A2</f>
        <v>Digitar o nome</v>
      </c>
      <c r="B2" s="3353">
        <f>'K. RESULTADOS ECON. LEITE'!B2</f>
        <v>44013</v>
      </c>
      <c r="C2" s="3354"/>
    </row>
    <row r="3" spans="1:3" ht="13.5" thickBot="1" x14ac:dyDescent="0.25"/>
    <row r="4" spans="1:3" ht="18" x14ac:dyDescent="0.25">
      <c r="A4" s="3347" t="s">
        <v>575</v>
      </c>
      <c r="B4" s="3348"/>
      <c r="C4" s="3349"/>
    </row>
    <row r="5" spans="1:3" ht="15.75" x14ac:dyDescent="0.25">
      <c r="A5" s="3350" t="s">
        <v>415</v>
      </c>
      <c r="B5" s="3351"/>
      <c r="C5" s="3352"/>
    </row>
    <row r="6" spans="1:3" ht="15.75" x14ac:dyDescent="0.25">
      <c r="A6" s="975" t="s">
        <v>169</v>
      </c>
      <c r="B6" s="539" t="s">
        <v>87</v>
      </c>
      <c r="C6" s="976" t="s">
        <v>88</v>
      </c>
    </row>
    <row r="7" spans="1:3" ht="15.75" x14ac:dyDescent="0.25">
      <c r="A7" s="977" t="s">
        <v>413</v>
      </c>
      <c r="B7" s="539">
        <f>'F. resultad econ. glob. detalh'!B30</f>
        <v>0</v>
      </c>
      <c r="C7" s="987">
        <f>B7/$B$17</f>
        <v>0</v>
      </c>
    </row>
    <row r="8" spans="1:3" ht="15.75" x14ac:dyDescent="0.25">
      <c r="A8" s="977" t="s">
        <v>199</v>
      </c>
      <c r="B8" s="539">
        <f>'F. resultad econ. glob. detalh'!B31</f>
        <v>0</v>
      </c>
      <c r="C8" s="987">
        <f t="shared" ref="C8:C17" si="0">B8/$B$17</f>
        <v>0</v>
      </c>
    </row>
    <row r="9" spans="1:3" ht="15.75" x14ac:dyDescent="0.25">
      <c r="A9" s="977" t="s">
        <v>91</v>
      </c>
      <c r="B9" s="539">
        <f>'F. resultad econ. glob. detalh'!B32</f>
        <v>5400</v>
      </c>
      <c r="C9" s="987">
        <f t="shared" si="0"/>
        <v>0.35526315789473684</v>
      </c>
    </row>
    <row r="10" spans="1:3" ht="15.75" x14ac:dyDescent="0.25">
      <c r="A10" s="977" t="s">
        <v>92</v>
      </c>
      <c r="B10" s="539">
        <f>'F. resultad econ. glob. detalh'!B33</f>
        <v>7000</v>
      </c>
      <c r="C10" s="987">
        <f t="shared" si="0"/>
        <v>0.46052631578947367</v>
      </c>
    </row>
    <row r="11" spans="1:3" ht="15.75" x14ac:dyDescent="0.25">
      <c r="A11" s="977" t="s">
        <v>93</v>
      </c>
      <c r="B11" s="539">
        <f>'F. resultad econ. glob. detalh'!B34</f>
        <v>0</v>
      </c>
      <c r="C11" s="987">
        <f t="shared" si="0"/>
        <v>0</v>
      </c>
    </row>
    <row r="12" spans="1:3" ht="15.75" x14ac:dyDescent="0.25">
      <c r="A12" s="977" t="s">
        <v>151</v>
      </c>
      <c r="B12" s="539" t="e">
        <f>'F. resultad econ. glob. detalh'!B35</f>
        <v>#VALUE!</v>
      </c>
      <c r="C12" s="987" t="e">
        <f t="shared" si="0"/>
        <v>#VALUE!</v>
      </c>
    </row>
    <row r="13" spans="1:3" ht="15.75" x14ac:dyDescent="0.25">
      <c r="A13" s="977" t="s">
        <v>200</v>
      </c>
      <c r="B13" s="539">
        <f>'F. resultad econ. glob. detalh'!B36</f>
        <v>0</v>
      </c>
      <c r="C13" s="987">
        <f t="shared" si="0"/>
        <v>0</v>
      </c>
    </row>
    <row r="14" spans="1:3" ht="15.75" x14ac:dyDescent="0.25">
      <c r="A14" s="977" t="s">
        <v>152</v>
      </c>
      <c r="B14" s="539">
        <f>'F. resultad econ. glob. detalh'!B37</f>
        <v>0</v>
      </c>
      <c r="C14" s="987">
        <f t="shared" si="0"/>
        <v>0</v>
      </c>
    </row>
    <row r="15" spans="1:3" ht="15.75" x14ac:dyDescent="0.25">
      <c r="A15" s="977" t="s">
        <v>153</v>
      </c>
      <c r="B15" s="539">
        <f>'F. resultad econ. glob. detalh'!B38</f>
        <v>0</v>
      </c>
      <c r="C15" s="987">
        <f t="shared" si="0"/>
        <v>0</v>
      </c>
    </row>
    <row r="16" spans="1:3" ht="15.75" x14ac:dyDescent="0.25">
      <c r="A16" s="977" t="s">
        <v>154</v>
      </c>
      <c r="B16" s="539">
        <f>'F. resultad econ. glob. detalh'!B39</f>
        <v>2800</v>
      </c>
      <c r="C16" s="987">
        <f t="shared" si="0"/>
        <v>0.18421052631578946</v>
      </c>
    </row>
    <row r="17" spans="1:3" ht="15.75" x14ac:dyDescent="0.25">
      <c r="A17" s="978" t="s">
        <v>60</v>
      </c>
      <c r="B17" s="529">
        <f>SUMIF(B7:B16,"&gt;0",B7:B16)</f>
        <v>15200</v>
      </c>
      <c r="C17" s="987">
        <f t="shared" si="0"/>
        <v>1</v>
      </c>
    </row>
    <row r="18" spans="1:3" ht="15.75" x14ac:dyDescent="0.25">
      <c r="A18" s="977"/>
      <c r="B18" s="529"/>
      <c r="C18" s="988"/>
    </row>
    <row r="19" spans="1:3" ht="15.75" x14ac:dyDescent="0.25">
      <c r="A19" s="979" t="s">
        <v>416</v>
      </c>
      <c r="B19" s="529"/>
      <c r="C19" s="989"/>
    </row>
    <row r="20" spans="1:3" ht="15.75" x14ac:dyDescent="0.25">
      <c r="A20" s="980" t="str">
        <f>'F. resultad econ. glob. detalh'!A43</f>
        <v xml:space="preserve"> compras utilizadas na produção de grãos proprios  e silagens</v>
      </c>
      <c r="B20" s="629">
        <f ca="1">'F. resultad econ. glob. detalh'!B43</f>
        <v>0</v>
      </c>
      <c r="C20" s="987">
        <f ca="1">B20/$B$42</f>
        <v>0</v>
      </c>
    </row>
    <row r="21" spans="1:3" ht="15.75" x14ac:dyDescent="0.25">
      <c r="A21" s="980" t="str">
        <f>'F. resultad econ. glob. detalh'!A44</f>
        <v xml:space="preserve"> concentrado, sal mineral e grãos comprados</v>
      </c>
      <c r="B21" s="629">
        <f>'F. resultad econ. glob. detalh'!B44</f>
        <v>0</v>
      </c>
      <c r="C21" s="987">
        <f t="shared" ref="C21:C42" ca="1" si="1">B21/$B$42</f>
        <v>0</v>
      </c>
    </row>
    <row r="22" spans="1:3" ht="15.75" x14ac:dyDescent="0.25">
      <c r="A22" s="980" t="str">
        <f>'F. resultad econ. glob. detalh'!A45</f>
        <v xml:space="preserve"> insumos e serviços para  formação de pastagens</v>
      </c>
      <c r="B22" s="629">
        <f ca="1">'F. resultad econ. glob. detalh'!B45</f>
        <v>0</v>
      </c>
      <c r="C22" s="987">
        <f t="shared" ca="1" si="1"/>
        <v>0</v>
      </c>
    </row>
    <row r="23" spans="1:3" ht="15.75" x14ac:dyDescent="0.25">
      <c r="A23" s="980" t="str">
        <f>'F. resultad econ. glob. detalh'!A46</f>
        <v>Medicamentos geral</v>
      </c>
      <c r="B23" s="629">
        <f>'F. resultad econ. glob. detalh'!B46</f>
        <v>0</v>
      </c>
      <c r="C23" s="987">
        <f t="shared" ca="1" si="1"/>
        <v>0</v>
      </c>
    </row>
    <row r="24" spans="1:3" ht="15.75" x14ac:dyDescent="0.25">
      <c r="A24" s="980" t="str">
        <f>'F. resultad econ. glob. detalh'!A47</f>
        <v>Inseminação (sêmen e serviço contratado)</v>
      </c>
      <c r="B24" s="629">
        <f>'F. resultad econ. glob. detalh'!B47</f>
        <v>0</v>
      </c>
      <c r="C24" s="987">
        <f t="shared" ca="1" si="1"/>
        <v>0</v>
      </c>
    </row>
    <row r="25" spans="1:3" ht="15.75" x14ac:dyDescent="0.25">
      <c r="A25" s="980" t="str">
        <f>'F. resultad econ. glob. detalh'!A48</f>
        <v xml:space="preserve">Energia eletrica </v>
      </c>
      <c r="B25" s="629">
        <f>'F. resultad econ. glob. detalh'!B48</f>
        <v>0</v>
      </c>
      <c r="C25" s="987">
        <f t="shared" ca="1" si="1"/>
        <v>0</v>
      </c>
    </row>
    <row r="26" spans="1:3" ht="15.75" x14ac:dyDescent="0.25">
      <c r="A26" s="980" t="str">
        <f>'F. resultad econ. glob. detalh'!A49</f>
        <v>Material limpeza e desinfecção</v>
      </c>
      <c r="B26" s="629">
        <f>'F. resultad econ. glob. detalh'!B49</f>
        <v>0</v>
      </c>
      <c r="C26" s="987">
        <f t="shared" ca="1" si="1"/>
        <v>0</v>
      </c>
    </row>
    <row r="27" spans="1:3" ht="15.75" x14ac:dyDescent="0.25">
      <c r="A27" s="980" t="str">
        <f>'F. resultad econ. glob. detalh'!A50</f>
        <v xml:space="preserve">outros gastos  para produção leite </v>
      </c>
      <c r="B27" s="629">
        <f>'F. resultad econ. glob. detalh'!B50</f>
        <v>0</v>
      </c>
      <c r="C27" s="987">
        <f t="shared" ca="1" si="1"/>
        <v>0</v>
      </c>
    </row>
    <row r="28" spans="1:3" ht="15.75" x14ac:dyDescent="0.25">
      <c r="A28" s="980" t="str">
        <f>'F. resultad econ. glob. detalh'!A51</f>
        <v xml:space="preserve"> compras para industrialização de leite</v>
      </c>
      <c r="B28" s="629">
        <f>'F. resultad econ. glob. detalh'!B51</f>
        <v>0</v>
      </c>
      <c r="C28" s="987">
        <f t="shared" ca="1" si="1"/>
        <v>0</v>
      </c>
    </row>
    <row r="29" spans="1:3" ht="15.75" x14ac:dyDescent="0.25">
      <c r="A29" s="1011" t="str">
        <f>'F. resultad econ. glob. detalh'!A52</f>
        <v xml:space="preserve">      mão obra proporcional aos grãos, silagens e pastagens utilizadas</v>
      </c>
      <c r="B29" s="629">
        <f>'F. resultad econ. glob. detalh'!B52</f>
        <v>0</v>
      </c>
      <c r="C29" s="987">
        <f t="shared" ca="1" si="1"/>
        <v>0</v>
      </c>
    </row>
    <row r="30" spans="1:3" ht="15.75" x14ac:dyDescent="0.25">
      <c r="A30" s="1011" t="str">
        <f>'F. resultad econ. glob. detalh'!A53</f>
        <v xml:space="preserve">      mão obra serviços manejo da ativ. Leite </v>
      </c>
      <c r="B30" s="629">
        <f>'F. resultad econ. glob. detalh'!B53</f>
        <v>0</v>
      </c>
      <c r="C30" s="987">
        <f t="shared" ca="1" si="1"/>
        <v>0</v>
      </c>
    </row>
    <row r="31" spans="1:3" ht="15.75" x14ac:dyDescent="0.25">
      <c r="A31" s="980" t="str">
        <f>'F. resultad econ. glob. detalh'!A54</f>
        <v>conservação e reparos de maquinas diretamente utilizados na atividade leite</v>
      </c>
      <c r="B31" s="629">
        <f ca="1">'F. resultad econ. glob. detalh'!B54</f>
        <v>0</v>
      </c>
      <c r="C31" s="987">
        <f t="shared" ca="1" si="1"/>
        <v>0</v>
      </c>
    </row>
    <row r="32" spans="1:3" ht="15.75" x14ac:dyDescent="0.25">
      <c r="A32" s="980" t="str">
        <f>'F. resultad econ. glob. detalh'!A55</f>
        <v>conservação e reparos de intalações  diretamente utilizados na atividade leite</v>
      </c>
      <c r="B32" s="629">
        <f>'F. resultad econ. glob. detalh'!B55</f>
        <v>0</v>
      </c>
      <c r="C32" s="987">
        <f t="shared" ca="1" si="1"/>
        <v>0</v>
      </c>
    </row>
    <row r="33" spans="1:3" ht="15.75" x14ac:dyDescent="0.25">
      <c r="A33" s="1012" t="str">
        <f>'F. resultad econ. glob. detalh'!A56</f>
        <v xml:space="preserve">           outras despesas:  ITR, impostos,juros, funrural, arrendamentos, etc. </v>
      </c>
      <c r="B33" s="629">
        <f>'F. resultad econ. glob. detalh'!B56</f>
        <v>0</v>
      </c>
      <c r="C33" s="987">
        <f t="shared" ca="1" si="1"/>
        <v>0</v>
      </c>
    </row>
    <row r="34" spans="1:3" ht="15.75" x14ac:dyDescent="0.25">
      <c r="A34" s="980"/>
      <c r="B34" s="629"/>
      <c r="C34" s="987"/>
    </row>
    <row r="35" spans="1:3" ht="15.75" x14ac:dyDescent="0.25">
      <c r="A35" s="981" t="s">
        <v>271</v>
      </c>
      <c r="B35" s="534">
        <f ca="1">SUMIF(B20:B34,"&gt;0",B20:B34)</f>
        <v>0</v>
      </c>
      <c r="C35" s="987">
        <f t="shared" ca="1" si="1"/>
        <v>0</v>
      </c>
    </row>
    <row r="36" spans="1:3" ht="15.75" x14ac:dyDescent="0.25">
      <c r="A36" s="979" t="s">
        <v>417</v>
      </c>
      <c r="B36" s="529"/>
      <c r="C36" s="987"/>
    </row>
    <row r="37" spans="1:3" ht="15.75" x14ac:dyDescent="0.25">
      <c r="A37" s="979" t="s">
        <v>273</v>
      </c>
      <c r="B37" s="529">
        <f>'F. resultad econ. glob. detalh'!B60</f>
        <v>281.25</v>
      </c>
      <c r="C37" s="987">
        <f t="shared" ca="1" si="1"/>
        <v>6.0827250608272508E-2</v>
      </c>
    </row>
    <row r="38" spans="1:3" ht="15.75" x14ac:dyDescent="0.25">
      <c r="A38" s="982" t="s">
        <v>202</v>
      </c>
      <c r="B38" s="529">
        <f>'F. resultad econ. glob. detalh'!B61</f>
        <v>2880</v>
      </c>
      <c r="C38" s="987">
        <f t="shared" ca="1" si="1"/>
        <v>0.62287104622871048</v>
      </c>
    </row>
    <row r="39" spans="1:3" ht="15.75" x14ac:dyDescent="0.25">
      <c r="A39" s="979" t="s">
        <v>203</v>
      </c>
      <c r="B39" s="529">
        <f>'F. resultad econ. glob. detalh'!B62</f>
        <v>1462.5</v>
      </c>
      <c r="C39" s="987">
        <f t="shared" ca="1" si="1"/>
        <v>0.31630170316301703</v>
      </c>
    </row>
    <row r="40" spans="1:3" ht="15.75" x14ac:dyDescent="0.25">
      <c r="A40" s="981" t="s">
        <v>178</v>
      </c>
      <c r="B40" s="529">
        <f>'F. resultad econ. glob. detalh'!B63</f>
        <v>4623.75</v>
      </c>
      <c r="C40" s="987">
        <f t="shared" ca="1" si="1"/>
        <v>1</v>
      </c>
    </row>
    <row r="41" spans="1:3" ht="15.75" x14ac:dyDescent="0.25">
      <c r="A41" s="981"/>
      <c r="B41" s="529"/>
      <c r="C41" s="987">
        <f t="shared" ca="1" si="1"/>
        <v>0</v>
      </c>
    </row>
    <row r="42" spans="1:3" ht="15.75" x14ac:dyDescent="0.25">
      <c r="A42" s="983" t="s">
        <v>425</v>
      </c>
      <c r="B42" s="541">
        <f ca="1">B35+B40</f>
        <v>4623.75</v>
      </c>
      <c r="C42" s="987">
        <f t="shared" ca="1" si="1"/>
        <v>1</v>
      </c>
    </row>
    <row r="43" spans="1:3" ht="15.75" x14ac:dyDescent="0.25">
      <c r="A43" s="979" t="s">
        <v>171</v>
      </c>
      <c r="B43" s="529"/>
      <c r="C43" s="988"/>
    </row>
    <row r="44" spans="1:3" ht="15.75" x14ac:dyDescent="0.25">
      <c r="A44" s="984" t="s">
        <v>418</v>
      </c>
      <c r="B44" s="625">
        <f ca="1">B17-B35</f>
        <v>15200</v>
      </c>
      <c r="C44" s="988"/>
    </row>
    <row r="45" spans="1:3" ht="15.75" x14ac:dyDescent="0.25">
      <c r="A45" s="984" t="s">
        <v>419</v>
      </c>
      <c r="B45" s="529">
        <f ca="1">B44-B40</f>
        <v>10576.25</v>
      </c>
      <c r="C45" s="988"/>
    </row>
    <row r="46" spans="1:3" ht="16.5" thickBot="1" x14ac:dyDescent="0.3">
      <c r="A46" s="985"/>
      <c r="B46" s="986"/>
      <c r="C46" s="990"/>
    </row>
  </sheetData>
  <sheetProtection password="85A7" sheet="1" objects="1" scenarios="1" selectLockedCells="1" selectUnlockedCells="1"/>
  <mergeCells count="3">
    <mergeCell ref="A4:C4"/>
    <mergeCell ref="A5:C5"/>
    <mergeCell ref="B2:C2"/>
  </mergeCells>
  <phoneticPr fontId="93" type="noConversion"/>
  <pageMargins left="0.78740157499999996" right="0.78740157499999996" top="0.984251969" bottom="0.984251969" header="0.49212598499999999" footer="0.49212598499999999"/>
  <pageSetup paperSize="9" scale="70" orientation="portrait"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31"/>
  <dimension ref="A1:L91"/>
  <sheetViews>
    <sheetView topLeftCell="A13" zoomScale="75" zoomScaleNormal="70" workbookViewId="0">
      <selection activeCell="D31" sqref="D31"/>
    </sheetView>
  </sheetViews>
  <sheetFormatPr defaultRowHeight="12.75" x14ac:dyDescent="0.2"/>
  <cols>
    <col min="1" max="1" width="9.140625" style="643" customWidth="1"/>
    <col min="2" max="2" width="77.5703125" style="643" customWidth="1"/>
    <col min="3" max="3" width="15.7109375" style="643" customWidth="1"/>
    <col min="4" max="4" width="10.85546875" style="643" customWidth="1"/>
    <col min="5" max="5" width="15.140625" style="643" customWidth="1"/>
    <col min="6" max="6" width="15" style="643" customWidth="1"/>
    <col min="7" max="9" width="11.42578125" style="643" customWidth="1"/>
    <col min="10" max="10" width="17.140625" style="643" customWidth="1"/>
    <col min="11" max="11" width="14.140625" style="643" customWidth="1"/>
    <col min="12" max="16384" width="9.140625" style="643"/>
  </cols>
  <sheetData>
    <row r="1" spans="1:11" ht="13.5" thickBot="1" x14ac:dyDescent="0.25">
      <c r="A1" s="642"/>
      <c r="B1" s="1078" t="str">
        <f>CADASTRO!C4</f>
        <v>Digitar o nome</v>
      </c>
      <c r="C1" s="3358">
        <f>CADASTRO!C12</f>
        <v>44013</v>
      </c>
      <c r="D1" s="3359"/>
      <c r="E1" s="3360"/>
    </row>
    <row r="2" spans="1:11" s="647" customFormat="1" ht="15.75" thickBot="1" x14ac:dyDescent="0.3">
      <c r="A2" s="644"/>
      <c r="B2" s="3368"/>
      <c r="C2" s="3368"/>
      <c r="D2" s="645"/>
      <c r="E2" s="3366" t="s">
        <v>275</v>
      </c>
      <c r="F2" s="3367"/>
      <c r="G2" s="764"/>
      <c r="H2" s="764"/>
      <c r="I2" s="764"/>
      <c r="J2" s="646"/>
      <c r="K2" s="646" t="s">
        <v>56</v>
      </c>
    </row>
    <row r="3" spans="1:11" s="647" customFormat="1" x14ac:dyDescent="0.2">
      <c r="A3" s="644"/>
      <c r="B3" s="3369" t="s">
        <v>484</v>
      </c>
      <c r="C3" s="3370"/>
      <c r="D3" s="3371"/>
      <c r="E3" s="753" t="s">
        <v>276</v>
      </c>
      <c r="F3" s="648" t="s">
        <v>274</v>
      </c>
      <c r="G3" s="765"/>
      <c r="H3" s="765"/>
      <c r="I3" s="765"/>
      <c r="K3" s="646" t="s">
        <v>56</v>
      </c>
    </row>
    <row r="4" spans="1:11" s="647" customFormat="1" ht="13.5" thickBot="1" x14ac:dyDescent="0.25">
      <c r="A4" s="644"/>
      <c r="B4" s="3372"/>
      <c r="C4" s="3373"/>
      <c r="D4" s="3374"/>
      <c r="E4" s="754" t="s">
        <v>194</v>
      </c>
      <c r="F4" s="649">
        <f>PRODUÇÃO!C39</f>
        <v>0</v>
      </c>
      <c r="G4" s="647" t="s">
        <v>279</v>
      </c>
      <c r="H4" s="766"/>
      <c r="I4" s="766"/>
      <c r="K4" s="646" t="s">
        <v>56</v>
      </c>
    </row>
    <row r="5" spans="1:11" s="647" customFormat="1" x14ac:dyDescent="0.2">
      <c r="A5" s="644"/>
      <c r="B5" s="755" t="s">
        <v>483</v>
      </c>
      <c r="C5" s="756" t="e">
        <f>'F. resultad econ. glob. detalh'!B30+'F. resultad econ. glob. detalh'!B31+'F. resultad econ. glob. detalh'!B35+'F. resultad econ. glob. detalh'!B36</f>
        <v>#VALUE!</v>
      </c>
      <c r="D5" s="780" t="e">
        <f>C5/C7</f>
        <v>#VALUE!</v>
      </c>
      <c r="E5" s="754" t="s">
        <v>277</v>
      </c>
      <c r="F5" s="649">
        <f>PRODUÇÃO!C40</f>
        <v>0</v>
      </c>
      <c r="G5" s="650" t="s">
        <v>282</v>
      </c>
      <c r="H5" s="766"/>
      <c r="I5" s="766"/>
      <c r="J5" s="650"/>
      <c r="K5" s="646" t="s">
        <v>56</v>
      </c>
    </row>
    <row r="6" spans="1:11" s="647" customFormat="1" x14ac:dyDescent="0.2">
      <c r="A6" s="644"/>
      <c r="B6" s="758" t="s">
        <v>485</v>
      </c>
      <c r="C6" s="752">
        <f>'F. resultad econ. glob. detalh'!B32+'F. resultad econ. glob. detalh'!B33+'F. resultad econ. glob. detalh'!B34+'F. resultad econ. glob. detalh'!B37+'F. resultad econ. glob. detalh'!B38+'F. resultad econ. glob. detalh'!B39</f>
        <v>15200</v>
      </c>
      <c r="D6" s="781" t="e">
        <f>C6/C$7</f>
        <v>#VALUE!</v>
      </c>
      <c r="E6" s="754" t="s">
        <v>43</v>
      </c>
      <c r="F6" s="649">
        <f>PRODUÇÃO!C41</f>
        <v>0</v>
      </c>
      <c r="G6" s="647" t="s">
        <v>280</v>
      </c>
      <c r="H6" s="766"/>
      <c r="I6" s="766"/>
      <c r="K6" s="646" t="s">
        <v>56</v>
      </c>
    </row>
    <row r="7" spans="1:11" s="647" customFormat="1" ht="26.25" thickBot="1" x14ac:dyDescent="0.25">
      <c r="A7" s="644"/>
      <c r="B7" s="757"/>
      <c r="C7" s="759" t="e">
        <f>SUM(C5:C6)</f>
        <v>#VALUE!</v>
      </c>
      <c r="D7" s="782" t="e">
        <f>C7/C$7</f>
        <v>#VALUE!</v>
      </c>
      <c r="E7" s="754" t="s">
        <v>278</v>
      </c>
      <c r="F7" s="649">
        <f>PRODUÇÃO!C42</f>
        <v>0</v>
      </c>
      <c r="G7" s="647" t="s">
        <v>281</v>
      </c>
      <c r="H7" s="766"/>
      <c r="I7" s="766"/>
      <c r="K7" s="646" t="s">
        <v>56</v>
      </c>
    </row>
    <row r="8" spans="1:11" s="647" customFormat="1" x14ac:dyDescent="0.2">
      <c r="A8" s="644"/>
      <c r="B8" s="747"/>
      <c r="C8" s="746"/>
      <c r="D8" s="645"/>
      <c r="E8" s="762" t="s">
        <v>283</v>
      </c>
      <c r="F8" s="763">
        <f>F4+F5+F6+F7</f>
        <v>0</v>
      </c>
      <c r="G8" s="767"/>
      <c r="H8" s="767"/>
      <c r="I8" s="767"/>
      <c r="K8" s="646" t="s">
        <v>56</v>
      </c>
    </row>
    <row r="9" spans="1:11" s="647" customFormat="1" x14ac:dyDescent="0.2">
      <c r="A9" s="644"/>
      <c r="B9" s="747"/>
      <c r="C9" s="760"/>
      <c r="D9" s="645"/>
      <c r="E9" s="762" t="s">
        <v>284</v>
      </c>
      <c r="F9" s="763">
        <f>F4+F5+F6+F7</f>
        <v>0</v>
      </c>
      <c r="G9" s="767"/>
      <c r="H9" s="767"/>
      <c r="I9" s="767"/>
      <c r="K9" s="646" t="s">
        <v>56</v>
      </c>
    </row>
    <row r="10" spans="1:11" s="647" customFormat="1" x14ac:dyDescent="0.2">
      <c r="A10" s="644"/>
      <c r="B10" s="747"/>
      <c r="C10" s="760"/>
      <c r="D10" s="748"/>
      <c r="K10" s="646" t="s">
        <v>56</v>
      </c>
    </row>
    <row r="11" spans="1:11" s="647" customFormat="1" ht="24" x14ac:dyDescent="0.2">
      <c r="B11" s="747"/>
      <c r="C11" s="760"/>
      <c r="D11" s="748"/>
      <c r="E11" s="744" t="s">
        <v>332</v>
      </c>
      <c r="F11" s="655" t="e">
        <f>'F. resultad econ. glob. detalh'!B40/F9</f>
        <v>#DIV/0!</v>
      </c>
      <c r="G11" s="768"/>
      <c r="H11" s="768"/>
      <c r="I11" s="768"/>
      <c r="K11" s="646" t="s">
        <v>56</v>
      </c>
    </row>
    <row r="12" spans="1:11" s="647" customFormat="1" x14ac:dyDescent="0.2">
      <c r="A12" s="644"/>
      <c r="B12" s="747"/>
      <c r="C12" s="760"/>
      <c r="D12" s="748"/>
      <c r="E12" s="643"/>
      <c r="F12" s="643"/>
      <c r="G12" s="643"/>
      <c r="H12" s="643"/>
      <c r="I12" s="643"/>
      <c r="K12" s="646" t="s">
        <v>56</v>
      </c>
    </row>
    <row r="13" spans="1:11" s="647" customFormat="1" ht="13.5" thickBot="1" x14ac:dyDescent="0.25">
      <c r="B13" s="644"/>
      <c r="C13" s="657"/>
      <c r="D13" s="660"/>
      <c r="E13" s="658"/>
      <c r="F13" s="658"/>
      <c r="G13" s="658"/>
      <c r="H13" s="658"/>
      <c r="I13" s="658"/>
      <c r="K13" s="646" t="s">
        <v>56</v>
      </c>
    </row>
    <row r="14" spans="1:11" ht="18.75" thickBot="1" x14ac:dyDescent="0.3">
      <c r="B14" s="783" t="s">
        <v>488</v>
      </c>
      <c r="C14" s="3364" t="s">
        <v>486</v>
      </c>
      <c r="D14" s="3365"/>
      <c r="E14" s="3365"/>
      <c r="F14" s="3365"/>
      <c r="G14" s="3355" t="s">
        <v>487</v>
      </c>
      <c r="H14" s="3356"/>
      <c r="I14" s="3357"/>
      <c r="J14" s="773" t="e">
        <f>D5</f>
        <v>#VALUE!</v>
      </c>
      <c r="K14" s="646" t="s">
        <v>56</v>
      </c>
    </row>
    <row r="15" spans="1:11" ht="25.5" x14ac:dyDescent="0.2">
      <c r="B15" s="790" t="s">
        <v>503</v>
      </c>
      <c r="C15" s="784" t="s">
        <v>87</v>
      </c>
      <c r="D15" s="785" t="s">
        <v>482</v>
      </c>
      <c r="E15" s="786" t="s">
        <v>88</v>
      </c>
      <c r="F15" s="787" t="s">
        <v>240</v>
      </c>
      <c r="G15" s="774" t="s">
        <v>87</v>
      </c>
      <c r="H15" s="775" t="s">
        <v>482</v>
      </c>
      <c r="I15" s="776" t="s">
        <v>88</v>
      </c>
      <c r="J15" s="777" t="s">
        <v>240</v>
      </c>
      <c r="K15" s="646" t="s">
        <v>56</v>
      </c>
    </row>
    <row r="16" spans="1:11" x14ac:dyDescent="0.2">
      <c r="B16" s="792" t="str">
        <f>'F. resultad econ. glob. detalh'!A43</f>
        <v xml:space="preserve"> compras utilizadas na produção de grãos proprios  e silagens</v>
      </c>
      <c r="C16" s="788">
        <f ca="1">'F. resultad econ. glob. detalh'!B43</f>
        <v>0</v>
      </c>
      <c r="D16" s="750" t="e">
        <f ca="1">C16/$F$8</f>
        <v>#DIV/0!</v>
      </c>
      <c r="E16" s="652" t="e">
        <f ca="1">D16/$D$31</f>
        <v>#DIV/0!</v>
      </c>
      <c r="F16" s="695" t="e">
        <f ca="1">D16/$D$38</f>
        <v>#DIV/0!</v>
      </c>
      <c r="G16" s="797" t="e">
        <f ca="1">C16*$J$14</f>
        <v>#VALUE!</v>
      </c>
      <c r="H16" s="798" t="e">
        <f ca="1">G16/$F$8</f>
        <v>#VALUE!</v>
      </c>
      <c r="I16" s="778" t="e">
        <f ca="1">H16/$H$31</f>
        <v>#VALUE!</v>
      </c>
      <c r="J16" s="799" t="e">
        <f ca="1">H16/$H$38</f>
        <v>#VALUE!</v>
      </c>
      <c r="K16" s="646" t="s">
        <v>56</v>
      </c>
    </row>
    <row r="17" spans="2:11" x14ac:dyDescent="0.2">
      <c r="B17" s="792" t="str">
        <f>'F. resultad econ. glob. detalh'!A44</f>
        <v xml:space="preserve"> concentrado, sal mineral e grãos comprados</v>
      </c>
      <c r="C17" s="788">
        <f>'F. resultad econ. glob. detalh'!B44</f>
        <v>0</v>
      </c>
      <c r="D17" s="750" t="e">
        <f t="shared" ref="D17:D31" si="0">C17/$F$8</f>
        <v>#DIV/0!</v>
      </c>
      <c r="E17" s="652" t="e">
        <f t="shared" ref="E17:E29" ca="1" si="1">D17/$D$31</f>
        <v>#DIV/0!</v>
      </c>
      <c r="F17" s="695" t="e">
        <f t="shared" ref="F17:F31" ca="1" si="2">D17/$D$38</f>
        <v>#DIV/0!</v>
      </c>
      <c r="G17" s="797" t="e">
        <f t="shared" ref="G17:G38" si="3">C17*$J$14</f>
        <v>#VALUE!</v>
      </c>
      <c r="H17" s="798" t="e">
        <f t="shared" ref="H17:H38" si="4">G17/$F$8</f>
        <v>#VALUE!</v>
      </c>
      <c r="I17" s="778" t="e">
        <f t="shared" ref="I17:I31" ca="1" si="5">H17/$H$31</f>
        <v>#VALUE!</v>
      </c>
      <c r="J17" s="799" t="e">
        <f t="shared" ref="J17:J38" ca="1" si="6">H17/$H$38</f>
        <v>#VALUE!</v>
      </c>
      <c r="K17" s="646" t="s">
        <v>56</v>
      </c>
    </row>
    <row r="18" spans="2:11" x14ac:dyDescent="0.2">
      <c r="B18" s="792" t="str">
        <f>'F. resultad econ. glob. detalh'!A45</f>
        <v xml:space="preserve"> insumos e serviços para  formação de pastagens</v>
      </c>
      <c r="C18" s="788">
        <f ca="1">'F. resultad econ. glob. detalh'!B45</f>
        <v>0</v>
      </c>
      <c r="D18" s="750" t="e">
        <f t="shared" ca="1" si="0"/>
        <v>#DIV/0!</v>
      </c>
      <c r="E18" s="652" t="e">
        <f t="shared" ca="1" si="1"/>
        <v>#DIV/0!</v>
      </c>
      <c r="F18" s="695" t="e">
        <f t="shared" ca="1" si="2"/>
        <v>#DIV/0!</v>
      </c>
      <c r="G18" s="797" t="e">
        <f t="shared" ca="1" si="3"/>
        <v>#VALUE!</v>
      </c>
      <c r="H18" s="798" t="e">
        <f t="shared" ca="1" si="4"/>
        <v>#VALUE!</v>
      </c>
      <c r="I18" s="778" t="e">
        <f t="shared" ca="1" si="5"/>
        <v>#VALUE!</v>
      </c>
      <c r="J18" s="799" t="e">
        <f t="shared" ca="1" si="6"/>
        <v>#VALUE!</v>
      </c>
      <c r="K18" s="646" t="s">
        <v>56</v>
      </c>
    </row>
    <row r="19" spans="2:11" x14ac:dyDescent="0.2">
      <c r="B19" s="792" t="str">
        <f>'F. resultad econ. glob. detalh'!A46</f>
        <v>Medicamentos geral</v>
      </c>
      <c r="C19" s="788">
        <f>'F. resultad econ. glob. detalh'!B46</f>
        <v>0</v>
      </c>
      <c r="D19" s="750" t="e">
        <f t="shared" si="0"/>
        <v>#DIV/0!</v>
      </c>
      <c r="E19" s="652" t="e">
        <f t="shared" ca="1" si="1"/>
        <v>#DIV/0!</v>
      </c>
      <c r="F19" s="695" t="e">
        <f t="shared" ca="1" si="2"/>
        <v>#DIV/0!</v>
      </c>
      <c r="G19" s="797" t="e">
        <f t="shared" si="3"/>
        <v>#VALUE!</v>
      </c>
      <c r="H19" s="798" t="e">
        <f t="shared" si="4"/>
        <v>#VALUE!</v>
      </c>
      <c r="I19" s="778" t="e">
        <f t="shared" ca="1" si="5"/>
        <v>#VALUE!</v>
      </c>
      <c r="J19" s="799" t="e">
        <f t="shared" ca="1" si="6"/>
        <v>#VALUE!</v>
      </c>
      <c r="K19" s="646" t="s">
        <v>56</v>
      </c>
    </row>
    <row r="20" spans="2:11" x14ac:dyDescent="0.2">
      <c r="B20" s="792" t="str">
        <f>'F. resultad econ. glob. detalh'!A47</f>
        <v>Inseminação (sêmen e serviço contratado)</v>
      </c>
      <c r="C20" s="788">
        <f>'F. resultad econ. glob. detalh'!B47</f>
        <v>0</v>
      </c>
      <c r="D20" s="750" t="e">
        <f t="shared" si="0"/>
        <v>#DIV/0!</v>
      </c>
      <c r="E20" s="652" t="e">
        <f t="shared" ca="1" si="1"/>
        <v>#DIV/0!</v>
      </c>
      <c r="F20" s="695" t="e">
        <f t="shared" ca="1" si="2"/>
        <v>#DIV/0!</v>
      </c>
      <c r="G20" s="797" t="e">
        <f t="shared" si="3"/>
        <v>#VALUE!</v>
      </c>
      <c r="H20" s="798" t="e">
        <f t="shared" si="4"/>
        <v>#VALUE!</v>
      </c>
      <c r="I20" s="778" t="e">
        <f t="shared" ca="1" si="5"/>
        <v>#VALUE!</v>
      </c>
      <c r="J20" s="799" t="e">
        <f t="shared" ca="1" si="6"/>
        <v>#VALUE!</v>
      </c>
      <c r="K20" s="646" t="s">
        <v>56</v>
      </c>
    </row>
    <row r="21" spans="2:11" x14ac:dyDescent="0.2">
      <c r="B21" s="792" t="str">
        <f>'F. resultad econ. glob. detalh'!A48</f>
        <v xml:space="preserve">Energia eletrica </v>
      </c>
      <c r="C21" s="788">
        <f>'F. resultad econ. glob. detalh'!B48</f>
        <v>0</v>
      </c>
      <c r="D21" s="750" t="e">
        <f t="shared" si="0"/>
        <v>#DIV/0!</v>
      </c>
      <c r="E21" s="652" t="e">
        <f t="shared" ca="1" si="1"/>
        <v>#DIV/0!</v>
      </c>
      <c r="F21" s="695" t="e">
        <f t="shared" ca="1" si="2"/>
        <v>#DIV/0!</v>
      </c>
      <c r="G21" s="797" t="e">
        <f t="shared" si="3"/>
        <v>#VALUE!</v>
      </c>
      <c r="H21" s="798" t="e">
        <f t="shared" si="4"/>
        <v>#VALUE!</v>
      </c>
      <c r="I21" s="778" t="e">
        <f t="shared" ca="1" si="5"/>
        <v>#VALUE!</v>
      </c>
      <c r="J21" s="799" t="e">
        <f t="shared" ca="1" si="6"/>
        <v>#VALUE!</v>
      </c>
      <c r="K21" s="646" t="s">
        <v>56</v>
      </c>
    </row>
    <row r="22" spans="2:11" x14ac:dyDescent="0.2">
      <c r="B22" s="792" t="str">
        <f>'F. resultad econ. glob. detalh'!A49</f>
        <v>Material limpeza e desinfecção</v>
      </c>
      <c r="C22" s="788">
        <f>'F. resultad econ. glob. detalh'!B49</f>
        <v>0</v>
      </c>
      <c r="D22" s="750" t="e">
        <f t="shared" si="0"/>
        <v>#DIV/0!</v>
      </c>
      <c r="E22" s="652" t="e">
        <f t="shared" ca="1" si="1"/>
        <v>#DIV/0!</v>
      </c>
      <c r="F22" s="695" t="e">
        <f t="shared" ca="1" si="2"/>
        <v>#DIV/0!</v>
      </c>
      <c r="G22" s="797" t="e">
        <f t="shared" si="3"/>
        <v>#VALUE!</v>
      </c>
      <c r="H22" s="798" t="e">
        <f t="shared" si="4"/>
        <v>#VALUE!</v>
      </c>
      <c r="I22" s="778" t="e">
        <f t="shared" ca="1" si="5"/>
        <v>#VALUE!</v>
      </c>
      <c r="J22" s="799" t="e">
        <f t="shared" ca="1" si="6"/>
        <v>#VALUE!</v>
      </c>
      <c r="K22" s="646" t="s">
        <v>56</v>
      </c>
    </row>
    <row r="23" spans="2:11" x14ac:dyDescent="0.2">
      <c r="B23" s="792" t="str">
        <f>'F. resultad econ. glob. detalh'!A50</f>
        <v xml:space="preserve">outros gastos  para produção leite </v>
      </c>
      <c r="C23" s="788">
        <f>'F. resultad econ. glob. detalh'!B50</f>
        <v>0</v>
      </c>
      <c r="D23" s="750" t="e">
        <f t="shared" si="0"/>
        <v>#DIV/0!</v>
      </c>
      <c r="E23" s="652" t="e">
        <f t="shared" ca="1" si="1"/>
        <v>#DIV/0!</v>
      </c>
      <c r="F23" s="695" t="e">
        <f t="shared" ca="1" si="2"/>
        <v>#DIV/0!</v>
      </c>
      <c r="G23" s="797" t="e">
        <f t="shared" si="3"/>
        <v>#VALUE!</v>
      </c>
      <c r="H23" s="798" t="e">
        <f t="shared" si="4"/>
        <v>#VALUE!</v>
      </c>
      <c r="I23" s="778" t="e">
        <f t="shared" ca="1" si="5"/>
        <v>#VALUE!</v>
      </c>
      <c r="J23" s="799" t="e">
        <f t="shared" ca="1" si="6"/>
        <v>#VALUE!</v>
      </c>
      <c r="K23" s="646" t="s">
        <v>56</v>
      </c>
    </row>
    <row r="24" spans="2:11" x14ac:dyDescent="0.2">
      <c r="B24" s="792" t="str">
        <f>'F. resultad econ. glob. detalh'!A51</f>
        <v xml:space="preserve"> compras para industrialização de leite</v>
      </c>
      <c r="C24" s="788">
        <f>'F. resultad econ. glob. detalh'!B51</f>
        <v>0</v>
      </c>
      <c r="D24" s="750" t="e">
        <f t="shared" si="0"/>
        <v>#DIV/0!</v>
      </c>
      <c r="E24" s="652" t="e">
        <f t="shared" ca="1" si="1"/>
        <v>#DIV/0!</v>
      </c>
      <c r="F24" s="695" t="e">
        <f t="shared" ca="1" si="2"/>
        <v>#DIV/0!</v>
      </c>
      <c r="G24" s="797" t="e">
        <f t="shared" si="3"/>
        <v>#VALUE!</v>
      </c>
      <c r="H24" s="798" t="e">
        <f t="shared" si="4"/>
        <v>#VALUE!</v>
      </c>
      <c r="I24" s="778" t="e">
        <f t="shared" ca="1" si="5"/>
        <v>#VALUE!</v>
      </c>
      <c r="J24" s="799" t="e">
        <f t="shared" ca="1" si="6"/>
        <v>#VALUE!</v>
      </c>
      <c r="K24" s="646" t="s">
        <v>56</v>
      </c>
    </row>
    <row r="25" spans="2:11" x14ac:dyDescent="0.2">
      <c r="B25" s="792" t="str">
        <f>'F. resultad econ. glob. detalh'!A52</f>
        <v xml:space="preserve">      mão obra proporcional aos grãos, silagens e pastagens utilizadas</v>
      </c>
      <c r="C25" s="788">
        <f>'F. resultad econ. glob. detalh'!B52</f>
        <v>0</v>
      </c>
      <c r="D25" s="750" t="e">
        <f t="shared" si="0"/>
        <v>#DIV/0!</v>
      </c>
      <c r="E25" s="652" t="e">
        <f t="shared" ca="1" si="1"/>
        <v>#DIV/0!</v>
      </c>
      <c r="F25" s="695" t="e">
        <f t="shared" ca="1" si="2"/>
        <v>#DIV/0!</v>
      </c>
      <c r="G25" s="797" t="e">
        <f t="shared" si="3"/>
        <v>#VALUE!</v>
      </c>
      <c r="H25" s="798" t="e">
        <f t="shared" si="4"/>
        <v>#VALUE!</v>
      </c>
      <c r="I25" s="778" t="e">
        <f t="shared" ca="1" si="5"/>
        <v>#VALUE!</v>
      </c>
      <c r="J25" s="799" t="e">
        <f t="shared" ca="1" si="6"/>
        <v>#VALUE!</v>
      </c>
      <c r="K25" s="646" t="s">
        <v>56</v>
      </c>
    </row>
    <row r="26" spans="2:11" x14ac:dyDescent="0.2">
      <c r="B26" s="792" t="str">
        <f>'F. resultad econ. glob. detalh'!A53</f>
        <v xml:space="preserve">      mão obra serviços manejo da ativ. Leite </v>
      </c>
      <c r="C26" s="788">
        <f>'F. resultad econ. glob. detalh'!B53</f>
        <v>0</v>
      </c>
      <c r="D26" s="750" t="e">
        <f t="shared" si="0"/>
        <v>#DIV/0!</v>
      </c>
      <c r="E26" s="652" t="e">
        <f t="shared" ca="1" si="1"/>
        <v>#DIV/0!</v>
      </c>
      <c r="F26" s="695" t="e">
        <f t="shared" ca="1" si="2"/>
        <v>#DIV/0!</v>
      </c>
      <c r="G26" s="797" t="e">
        <f t="shared" si="3"/>
        <v>#VALUE!</v>
      </c>
      <c r="H26" s="798" t="e">
        <f t="shared" si="4"/>
        <v>#VALUE!</v>
      </c>
      <c r="I26" s="778" t="e">
        <f t="shared" ca="1" si="5"/>
        <v>#VALUE!</v>
      </c>
      <c r="J26" s="799" t="e">
        <f t="shared" ca="1" si="6"/>
        <v>#VALUE!</v>
      </c>
      <c r="K26" s="646" t="s">
        <v>56</v>
      </c>
    </row>
    <row r="27" spans="2:11" x14ac:dyDescent="0.2">
      <c r="B27" s="792" t="str">
        <f>'F. resultad econ. glob. detalh'!A54</f>
        <v>conservação e reparos de maquinas diretamente utilizados na atividade leite</v>
      </c>
      <c r="C27" s="788">
        <f ca="1">'F. resultad econ. glob. detalh'!B54</f>
        <v>0</v>
      </c>
      <c r="D27" s="750" t="e">
        <f t="shared" ca="1" si="0"/>
        <v>#DIV/0!</v>
      </c>
      <c r="E27" s="652" t="e">
        <f t="shared" ca="1" si="1"/>
        <v>#DIV/0!</v>
      </c>
      <c r="F27" s="695" t="e">
        <f t="shared" ca="1" si="2"/>
        <v>#DIV/0!</v>
      </c>
      <c r="G27" s="797" t="e">
        <f t="shared" ca="1" si="3"/>
        <v>#VALUE!</v>
      </c>
      <c r="H27" s="798" t="e">
        <f t="shared" ca="1" si="4"/>
        <v>#VALUE!</v>
      </c>
      <c r="I27" s="778" t="e">
        <f t="shared" ca="1" si="5"/>
        <v>#VALUE!</v>
      </c>
      <c r="J27" s="799" t="e">
        <f t="shared" ca="1" si="6"/>
        <v>#VALUE!</v>
      </c>
      <c r="K27" s="646" t="s">
        <v>56</v>
      </c>
    </row>
    <row r="28" spans="2:11" x14ac:dyDescent="0.2">
      <c r="B28" s="792" t="str">
        <f>'F. resultad econ. glob. detalh'!A55</f>
        <v>conservação e reparos de intalações  diretamente utilizados na atividade leite</v>
      </c>
      <c r="C28" s="788">
        <f>'F. resultad econ. glob. detalh'!B55</f>
        <v>0</v>
      </c>
      <c r="D28" s="750" t="e">
        <f t="shared" si="0"/>
        <v>#DIV/0!</v>
      </c>
      <c r="E28" s="652" t="e">
        <f t="shared" ca="1" si="1"/>
        <v>#DIV/0!</v>
      </c>
      <c r="F28" s="695" t="e">
        <f t="shared" ca="1" si="2"/>
        <v>#DIV/0!</v>
      </c>
      <c r="G28" s="797" t="e">
        <f t="shared" si="3"/>
        <v>#VALUE!</v>
      </c>
      <c r="H28" s="798" t="e">
        <f t="shared" si="4"/>
        <v>#VALUE!</v>
      </c>
      <c r="I28" s="778" t="e">
        <f t="shared" ca="1" si="5"/>
        <v>#VALUE!</v>
      </c>
      <c r="J28" s="799" t="e">
        <f t="shared" ca="1" si="6"/>
        <v>#VALUE!</v>
      </c>
      <c r="K28" s="646" t="s">
        <v>56</v>
      </c>
    </row>
    <row r="29" spans="2:11" x14ac:dyDescent="0.2">
      <c r="B29" s="792" t="str">
        <f>'F. resultad econ. glob. detalh'!A56</f>
        <v xml:space="preserve">           outras despesas:  ITR, impostos,juros, funrural, arrendamentos, etc. </v>
      </c>
      <c r="C29" s="788">
        <f>'F. resultad econ. glob. detalh'!B56</f>
        <v>0</v>
      </c>
      <c r="D29" s="750" t="e">
        <f t="shared" si="0"/>
        <v>#DIV/0!</v>
      </c>
      <c r="E29" s="652" t="e">
        <f t="shared" ca="1" si="1"/>
        <v>#DIV/0!</v>
      </c>
      <c r="F29" s="695" t="e">
        <f t="shared" ca="1" si="2"/>
        <v>#DIV/0!</v>
      </c>
      <c r="G29" s="797" t="e">
        <f t="shared" si="3"/>
        <v>#VALUE!</v>
      </c>
      <c r="H29" s="798" t="e">
        <f t="shared" si="4"/>
        <v>#VALUE!</v>
      </c>
      <c r="I29" s="778" t="e">
        <f t="shared" ca="1" si="5"/>
        <v>#VALUE!</v>
      </c>
      <c r="J29" s="799" t="e">
        <f t="shared" ca="1" si="6"/>
        <v>#VALUE!</v>
      </c>
      <c r="K29" s="646" t="s">
        <v>56</v>
      </c>
    </row>
    <row r="30" spans="2:11" ht="13.5" thickBot="1" x14ac:dyDescent="0.25">
      <c r="B30" s="792"/>
      <c r="C30" s="788"/>
      <c r="D30" s="750"/>
      <c r="E30" s="652"/>
      <c r="F30" s="695"/>
      <c r="G30" s="797"/>
      <c r="H30" s="821"/>
      <c r="I30" s="778"/>
      <c r="J30" s="799"/>
      <c r="K30" s="646" t="s">
        <v>56</v>
      </c>
    </row>
    <row r="31" spans="2:11" ht="13.5" thickBot="1" x14ac:dyDescent="0.25">
      <c r="B31" s="793" t="s">
        <v>60</v>
      </c>
      <c r="C31" s="815">
        <f ca="1">SUM(C16:C30)</f>
        <v>0</v>
      </c>
      <c r="D31" s="818" t="e">
        <f t="shared" ca="1" si="0"/>
        <v>#DIV/0!</v>
      </c>
      <c r="E31" s="823" t="e">
        <f ca="1">D31/$D$31</f>
        <v>#DIV/0!</v>
      </c>
      <c r="F31" s="695" t="e">
        <f t="shared" ca="1" si="2"/>
        <v>#DIV/0!</v>
      </c>
      <c r="G31" s="819" t="e">
        <f t="shared" ca="1" si="3"/>
        <v>#VALUE!</v>
      </c>
      <c r="H31" s="822" t="e">
        <f t="shared" ca="1" si="4"/>
        <v>#VALUE!</v>
      </c>
      <c r="I31" s="820" t="e">
        <f t="shared" ca="1" si="5"/>
        <v>#VALUE!</v>
      </c>
      <c r="J31" s="799"/>
      <c r="K31" s="646" t="s">
        <v>56</v>
      </c>
    </row>
    <row r="32" spans="2:11" x14ac:dyDescent="0.2">
      <c r="B32" s="794" t="s">
        <v>426</v>
      </c>
      <c r="C32" s="788"/>
      <c r="D32" s="827"/>
      <c r="E32" s="656"/>
      <c r="F32" s="695"/>
      <c r="G32" s="797"/>
      <c r="H32" s="828"/>
      <c r="I32" s="778"/>
      <c r="J32" s="799"/>
      <c r="K32" s="646" t="s">
        <v>56</v>
      </c>
    </row>
    <row r="33" spans="1:12" x14ac:dyDescent="0.2">
      <c r="B33" s="791" t="str">
        <f>'F. resultad econ. glob. detalh'!A60</f>
        <v xml:space="preserve">      depreciação maquinas e const. utilizadas para produção de grãos, silagem e pastagens</v>
      </c>
      <c r="C33" s="788">
        <f>'F. resultad econ. glob. detalh'!B60</f>
        <v>281.25</v>
      </c>
      <c r="D33" s="750" t="e">
        <f>C33/$F$8</f>
        <v>#DIV/0!</v>
      </c>
      <c r="E33" s="652" t="e">
        <f>D33/$D$36</f>
        <v>#DIV/0!</v>
      </c>
      <c r="F33" s="695" t="e">
        <f ca="1">D33/$D$38</f>
        <v>#DIV/0!</v>
      </c>
      <c r="G33" s="797" t="e">
        <f t="shared" si="3"/>
        <v>#VALUE!</v>
      </c>
      <c r="H33" s="798" t="e">
        <f t="shared" si="4"/>
        <v>#VALUE!</v>
      </c>
      <c r="I33" s="778" t="e">
        <f ca="1">H33/$H$38</f>
        <v>#VALUE!</v>
      </c>
      <c r="J33" s="799" t="e">
        <f t="shared" ca="1" si="6"/>
        <v>#VALUE!</v>
      </c>
      <c r="K33" s="646" t="s">
        <v>56</v>
      </c>
    </row>
    <row r="34" spans="1:12" x14ac:dyDescent="0.2">
      <c r="B34" s="791" t="str">
        <f>'F. resultad econ. glob. detalh'!A61</f>
        <v xml:space="preserve">      depreciação de maquinas e equipamentos prod e industrialização do Leite</v>
      </c>
      <c r="C34" s="788">
        <f>'F. resultad econ. glob. detalh'!B61</f>
        <v>2880</v>
      </c>
      <c r="D34" s="750" t="e">
        <f>C34/$F$8</f>
        <v>#DIV/0!</v>
      </c>
      <c r="E34" s="652" t="e">
        <f>D34/$D$36</f>
        <v>#DIV/0!</v>
      </c>
      <c r="F34" s="695" t="e">
        <f ca="1">D34/$D$38</f>
        <v>#DIV/0!</v>
      </c>
      <c r="G34" s="797" t="e">
        <f t="shared" si="3"/>
        <v>#VALUE!</v>
      </c>
      <c r="H34" s="798" t="e">
        <f t="shared" si="4"/>
        <v>#VALUE!</v>
      </c>
      <c r="I34" s="778" t="e">
        <f ca="1">H34/$H$38</f>
        <v>#VALUE!</v>
      </c>
      <c r="J34" s="799" t="e">
        <f t="shared" ca="1" si="6"/>
        <v>#VALUE!</v>
      </c>
      <c r="K34" s="646" t="s">
        <v>56</v>
      </c>
    </row>
    <row r="35" spans="1:12" ht="13.5" thickBot="1" x14ac:dyDescent="0.25">
      <c r="B35" s="791" t="str">
        <f>'F. resultad econ. glob. detalh'!A62</f>
        <v xml:space="preserve">      depreciação de construçoes p/ prod e indust.de  Leite</v>
      </c>
      <c r="C35" s="788">
        <f>'F. resultad econ. glob. detalh'!B62</f>
        <v>1462.5</v>
      </c>
      <c r="D35" s="824" t="e">
        <f>C35/$F$8</f>
        <v>#DIV/0!</v>
      </c>
      <c r="E35" s="652" t="e">
        <f>D35/$D$36</f>
        <v>#DIV/0!</v>
      </c>
      <c r="F35" s="695" t="e">
        <f ca="1">D35/$D$38</f>
        <v>#DIV/0!</v>
      </c>
      <c r="G35" s="797" t="e">
        <f t="shared" si="3"/>
        <v>#VALUE!</v>
      </c>
      <c r="H35" s="821" t="e">
        <f t="shared" si="4"/>
        <v>#VALUE!</v>
      </c>
      <c r="I35" s="778" t="e">
        <f ca="1">H35/$H$38</f>
        <v>#VALUE!</v>
      </c>
      <c r="J35" s="799" t="e">
        <f t="shared" ca="1" si="6"/>
        <v>#VALUE!</v>
      </c>
      <c r="K35" s="646" t="s">
        <v>56</v>
      </c>
    </row>
    <row r="36" spans="1:12" ht="13.5" thickBot="1" x14ac:dyDescent="0.25">
      <c r="B36" s="791" t="str">
        <f>'F. resultad econ. glob. detalh'!A63</f>
        <v xml:space="preserve">                                                                  sub total</v>
      </c>
      <c r="C36" s="815">
        <f>'F. resultad econ. glob. detalh'!B63</f>
        <v>4623.75</v>
      </c>
      <c r="D36" s="818" t="e">
        <f>C36/$F$8</f>
        <v>#DIV/0!</v>
      </c>
      <c r="E36" s="823" t="e">
        <f>D36/$D$36</f>
        <v>#DIV/0!</v>
      </c>
      <c r="F36" s="695"/>
      <c r="G36" s="819" t="e">
        <f t="shared" si="3"/>
        <v>#VALUE!</v>
      </c>
      <c r="H36" s="822" t="e">
        <f t="shared" si="4"/>
        <v>#VALUE!</v>
      </c>
      <c r="I36" s="820" t="e">
        <f ca="1">H36/$H$38</f>
        <v>#VALUE!</v>
      </c>
      <c r="J36" s="799"/>
      <c r="K36" s="646" t="s">
        <v>56</v>
      </c>
    </row>
    <row r="37" spans="1:12" ht="13.5" thickBot="1" x14ac:dyDescent="0.25">
      <c r="B37" s="791"/>
      <c r="C37" s="788"/>
      <c r="D37" s="825"/>
      <c r="E37" s="656"/>
      <c r="F37" s="695"/>
      <c r="G37" s="797"/>
      <c r="H37" s="826"/>
      <c r="I37" s="778"/>
      <c r="J37" s="799"/>
      <c r="K37" s="646" t="s">
        <v>56</v>
      </c>
    </row>
    <row r="38" spans="1:12" ht="13.5" thickBot="1" x14ac:dyDescent="0.25">
      <c r="B38" s="795" t="s">
        <v>427</v>
      </c>
      <c r="C38" s="815">
        <f ca="1">C31+C36</f>
        <v>4623.75</v>
      </c>
      <c r="D38" s="818" t="e">
        <f ca="1">C38/F8</f>
        <v>#DIV/0!</v>
      </c>
      <c r="E38" s="816"/>
      <c r="F38" s="749" t="e">
        <f ca="1">D38/$D$38</f>
        <v>#DIV/0!</v>
      </c>
      <c r="G38" s="819" t="e">
        <f t="shared" ca="1" si="3"/>
        <v>#VALUE!</v>
      </c>
      <c r="H38" s="822" t="e">
        <f t="shared" ca="1" si="4"/>
        <v>#VALUE!</v>
      </c>
      <c r="I38" s="820" t="e">
        <f ca="1">H38/$H$38</f>
        <v>#VALUE!</v>
      </c>
      <c r="J38" s="799" t="e">
        <f t="shared" ca="1" si="6"/>
        <v>#VALUE!</v>
      </c>
      <c r="K38" s="646" t="s">
        <v>56</v>
      </c>
    </row>
    <row r="39" spans="1:12" ht="13.5" thickBot="1" x14ac:dyDescent="0.25">
      <c r="B39" s="796"/>
      <c r="C39" s="789"/>
      <c r="D39" s="817"/>
      <c r="E39" s="771"/>
      <c r="F39" s="772"/>
      <c r="G39" s="1079"/>
      <c r="H39" s="1080"/>
      <c r="I39" s="1081"/>
      <c r="J39" s="779"/>
      <c r="K39" s="646" t="s">
        <v>56</v>
      </c>
    </row>
    <row r="40" spans="1:12" x14ac:dyDescent="0.2">
      <c r="A40" s="642"/>
      <c r="B40" s="642"/>
      <c r="C40" s="745"/>
      <c r="D40" s="800"/>
      <c r="E40" s="642"/>
      <c r="F40" s="642"/>
      <c r="G40" s="642"/>
      <c r="H40" s="642"/>
      <c r="I40" s="642"/>
      <c r="J40" s="751"/>
      <c r="K40" s="646" t="s">
        <v>56</v>
      </c>
    </row>
    <row r="41" spans="1:12" s="642" customFormat="1" x14ac:dyDescent="0.2">
      <c r="A41" s="644"/>
      <c r="C41" s="745"/>
      <c r="D41" s="800"/>
      <c r="K41" s="801" t="s">
        <v>56</v>
      </c>
    </row>
    <row r="42" spans="1:12" s="642" customFormat="1" ht="13.5" thickBot="1" x14ac:dyDescent="0.25">
      <c r="C42" s="745"/>
      <c r="D42" s="800"/>
      <c r="K42" s="802"/>
    </row>
    <row r="43" spans="1:12" x14ac:dyDescent="0.2">
      <c r="B43" s="803" t="s">
        <v>435</v>
      </c>
      <c r="C43" s="804">
        <f ca="1">C31</f>
        <v>0</v>
      </c>
      <c r="D43" s="805">
        <f ca="1">C43/C45</f>
        <v>0</v>
      </c>
      <c r="E43" s="642"/>
      <c r="F43" s="642"/>
      <c r="G43" s="642"/>
      <c r="H43" s="642"/>
      <c r="I43" s="642"/>
      <c r="J43" s="642"/>
      <c r="K43" s="743"/>
    </row>
    <row r="44" spans="1:12" x14ac:dyDescent="0.2">
      <c r="B44" s="694" t="s">
        <v>292</v>
      </c>
      <c r="C44" s="659">
        <f>C36</f>
        <v>4623.75</v>
      </c>
      <c r="D44" s="806">
        <f ca="1">C44/C45</f>
        <v>1</v>
      </c>
      <c r="E44" s="642"/>
      <c r="F44" s="642"/>
      <c r="G44" s="642"/>
      <c r="H44" s="642"/>
      <c r="I44" s="642"/>
      <c r="J44" s="642"/>
      <c r="K44" s="743"/>
    </row>
    <row r="45" spans="1:12" ht="13.5" thickBot="1" x14ac:dyDescent="0.25">
      <c r="B45" s="807"/>
      <c r="C45" s="808">
        <f ca="1">SUM(C43:C44)</f>
        <v>4623.75</v>
      </c>
      <c r="D45" s="809">
        <f ca="1">C45/C45</f>
        <v>1</v>
      </c>
      <c r="E45" s="642"/>
      <c r="F45" s="642"/>
      <c r="G45" s="642"/>
      <c r="H45" s="642"/>
      <c r="I45" s="642"/>
      <c r="J45" s="642"/>
      <c r="K45" s="743"/>
    </row>
    <row r="46" spans="1:12" s="642" customFormat="1" ht="13.9" customHeight="1" thickBot="1" x14ac:dyDescent="0.25">
      <c r="B46" s="642" t="s">
        <v>423</v>
      </c>
      <c r="C46" s="745"/>
      <c r="D46" s="810"/>
      <c r="K46" s="801" t="s">
        <v>56</v>
      </c>
      <c r="L46" s="811"/>
    </row>
    <row r="47" spans="1:12" ht="13.9" customHeight="1" thickBot="1" x14ac:dyDescent="0.25">
      <c r="B47" s="3361" t="s">
        <v>384</v>
      </c>
      <c r="C47" s="3362"/>
      <c r="D47" s="3362"/>
      <c r="E47" s="3362"/>
      <c r="F47" s="3363"/>
      <c r="G47" s="642"/>
      <c r="H47" s="642"/>
      <c r="I47" s="642"/>
      <c r="J47" s="642"/>
      <c r="K47" s="646" t="s">
        <v>56</v>
      </c>
    </row>
    <row r="48" spans="1:12" ht="13.15" customHeight="1" thickBot="1" x14ac:dyDescent="0.25">
      <c r="B48" s="661"/>
      <c r="C48" s="842" t="s">
        <v>387</v>
      </c>
      <c r="D48" s="843" t="s">
        <v>281</v>
      </c>
      <c r="E48" s="844" t="s">
        <v>388</v>
      </c>
      <c r="F48" s="845" t="s">
        <v>88</v>
      </c>
      <c r="G48" s="769"/>
      <c r="H48" s="769"/>
      <c r="I48" s="769"/>
      <c r="J48" s="642"/>
      <c r="K48" s="646" t="s">
        <v>56</v>
      </c>
    </row>
    <row r="49" spans="2:11" ht="13.15" customHeight="1" x14ac:dyDescent="0.2">
      <c r="B49" s="651" t="s">
        <v>424</v>
      </c>
      <c r="C49" s="839">
        <f ca="1">'resumo gastos CULTIVOS'!D111+'resumo gastos CULTIVOS'!E111+'resumo gastos CULTIVOS'!F111+'resumo gastos CULTIVOS'!H111+'resumo gastos CULTIVOS'!I111</f>
        <v>0</v>
      </c>
      <c r="D49" s="666">
        <f>'resumo gastos CULTIVOS'!G24</f>
        <v>0</v>
      </c>
      <c r="E49" s="840">
        <f ca="1">C49+D49</f>
        <v>0</v>
      </c>
      <c r="F49" s="841">
        <f t="shared" ref="F49:F54" ca="1" si="7">E49/$E$54</f>
        <v>0</v>
      </c>
      <c r="G49" s="770"/>
      <c r="H49" s="770"/>
      <c r="I49" s="770"/>
      <c r="J49" s="642"/>
      <c r="K49" s="646" t="s">
        <v>56</v>
      </c>
    </row>
    <row r="50" spans="2:11" ht="13.15" customHeight="1" x14ac:dyDescent="0.2">
      <c r="B50" s="654" t="s">
        <v>165</v>
      </c>
      <c r="C50" s="655">
        <f ca="1">'resumo gastos CULTIVOS'!D53+'resumo gastos CULTIVOS'!D54+'resumo gastos CULTIVOS'!E53+'resumo gastos CULTIVOS'!E54+'resumo gastos CULTIVOS'!F53+'resumo gastos CULTIVOS'!F54+'resumo gastos CULTIVOS'!H53+'resumo gastos CULTIVOS'!H54+'resumo gastos CULTIVOS'!J53+'resumo gastos CULTIVOS'!J54</f>
        <v>0</v>
      </c>
      <c r="D50" s="663">
        <f>'resumo gastos CULTIVOS'!G53+'resumo gastos CULTIVOS'!G54+'resumo gastos CULTIVOS'!I53+'resumo gastos CULTIVOS'!I54</f>
        <v>281.25</v>
      </c>
      <c r="E50" s="664">
        <f ca="1">C50+D50</f>
        <v>281.25</v>
      </c>
      <c r="F50" s="697">
        <f t="shared" ca="1" si="7"/>
        <v>1</v>
      </c>
      <c r="G50" s="770"/>
      <c r="H50" s="847"/>
      <c r="I50" s="770"/>
      <c r="J50" s="642"/>
      <c r="K50" s="646" t="s">
        <v>56</v>
      </c>
    </row>
    <row r="51" spans="2:11" ht="13.15" customHeight="1" x14ac:dyDescent="0.2">
      <c r="B51" s="654" t="s">
        <v>378</v>
      </c>
      <c r="C51" s="655">
        <f ca="1">'resumo gastos CULTIVOS'!D58+'resumo gastos CULTIVOS'!E58+'resumo gastos CULTIVOS'!F58+'resumo gastos CULTIVOS'!H58+'resumo gastos CULTIVOS'!J58</f>
        <v>0</v>
      </c>
      <c r="D51" s="663">
        <f>'resumo gastos CULTIVOS'!G58+'resumo gastos CULTIVOS'!I58</f>
        <v>0</v>
      </c>
      <c r="E51" s="664">
        <f ca="1">C51+D51</f>
        <v>0</v>
      </c>
      <c r="F51" s="697">
        <f t="shared" ca="1" si="7"/>
        <v>0</v>
      </c>
      <c r="G51" s="770"/>
      <c r="H51" s="847"/>
      <c r="I51" s="770"/>
      <c r="J51" s="642"/>
      <c r="K51" s="646" t="s">
        <v>56</v>
      </c>
    </row>
    <row r="52" spans="2:11" ht="13.15" customHeight="1" x14ac:dyDescent="0.2">
      <c r="B52" s="654" t="s">
        <v>379</v>
      </c>
      <c r="C52" s="662">
        <f>'DESPESAS (Gado)'!G20</f>
        <v>0</v>
      </c>
      <c r="D52" s="227" t="s">
        <v>409</v>
      </c>
      <c r="E52" s="665">
        <f>C52</f>
        <v>0</v>
      </c>
      <c r="F52" s="697">
        <f t="shared" ca="1" si="7"/>
        <v>0</v>
      </c>
      <c r="G52" s="770"/>
      <c r="H52" s="847"/>
      <c r="I52" s="770"/>
      <c r="J52" s="642"/>
      <c r="K52" s="646" t="s">
        <v>56</v>
      </c>
    </row>
    <row r="53" spans="2:11" ht="13.15" customHeight="1" thickBot="1" x14ac:dyDescent="0.25">
      <c r="B53" s="654"/>
      <c r="C53" s="834"/>
      <c r="D53" s="667"/>
      <c r="E53" s="665"/>
      <c r="F53" s="697"/>
      <c r="G53" s="770"/>
      <c r="H53" s="847"/>
      <c r="I53" s="848"/>
      <c r="J53" s="642"/>
      <c r="K53" s="646" t="s">
        <v>56</v>
      </c>
    </row>
    <row r="54" spans="2:11" ht="13.9" customHeight="1" thickBot="1" x14ac:dyDescent="0.25">
      <c r="B54" s="699"/>
      <c r="C54" s="835">
        <f ca="1">SUM(C49:C53)</f>
        <v>0</v>
      </c>
      <c r="D54" s="835">
        <f>SUM(D49:D53)</f>
        <v>281.25</v>
      </c>
      <c r="E54" s="836">
        <f ca="1">SUM(E49:E53)</f>
        <v>281.25</v>
      </c>
      <c r="F54" s="700">
        <f t="shared" ca="1" si="7"/>
        <v>1</v>
      </c>
      <c r="G54" s="770"/>
      <c r="H54" s="770"/>
      <c r="I54" s="770"/>
      <c r="J54" s="642"/>
      <c r="K54" s="646" t="s">
        <v>56</v>
      </c>
    </row>
    <row r="55" spans="2:11" s="642" customFormat="1" ht="22.15" customHeight="1" thickBot="1" x14ac:dyDescent="0.25">
      <c r="C55" s="846">
        <f ca="1">C54/E68</f>
        <v>0</v>
      </c>
      <c r="D55" s="838">
        <f ca="1">D54/E68</f>
        <v>6.0827250608272508E-2</v>
      </c>
      <c r="E55" s="837">
        <f ca="1">E54/E68</f>
        <v>6.0827250608272508E-2</v>
      </c>
      <c r="K55" s="801" t="s">
        <v>56</v>
      </c>
    </row>
    <row r="56" spans="2:11" s="642" customFormat="1" ht="13.9" customHeight="1" thickBot="1" x14ac:dyDescent="0.25">
      <c r="D56" s="812"/>
      <c r="K56" s="801" t="s">
        <v>56</v>
      </c>
    </row>
    <row r="57" spans="2:11" ht="13.15" customHeight="1" thickBot="1" x14ac:dyDescent="0.25">
      <c r="B57" s="3361" t="s">
        <v>441</v>
      </c>
      <c r="C57" s="3362"/>
      <c r="D57" s="3362"/>
      <c r="E57" s="3362"/>
      <c r="F57" s="3363"/>
      <c r="G57" s="642"/>
      <c r="H57" s="642"/>
      <c r="I57" s="642"/>
      <c r="J57" s="642"/>
      <c r="K57" s="646" t="s">
        <v>56</v>
      </c>
    </row>
    <row r="58" spans="2:11" ht="13.15" customHeight="1" x14ac:dyDescent="0.2">
      <c r="B58" s="813"/>
      <c r="C58" s="761" t="s">
        <v>387</v>
      </c>
      <c r="D58" s="761" t="s">
        <v>281</v>
      </c>
      <c r="E58" s="814" t="s">
        <v>388</v>
      </c>
      <c r="F58" s="696"/>
      <c r="G58" s="642"/>
      <c r="H58" s="642"/>
      <c r="I58" s="642"/>
      <c r="J58" s="642"/>
      <c r="K58" s="646" t="s">
        <v>56</v>
      </c>
    </row>
    <row r="59" spans="2:11" ht="13.15" customHeight="1" x14ac:dyDescent="0.2">
      <c r="B59" s="698" t="s">
        <v>431</v>
      </c>
      <c r="C59" s="668">
        <f ca="1">C54</f>
        <v>0</v>
      </c>
      <c r="D59" s="666">
        <f>D54</f>
        <v>281.25</v>
      </c>
      <c r="E59" s="669">
        <f ca="1">C59+D59</f>
        <v>281.25</v>
      </c>
      <c r="F59" s="697">
        <f ca="1">E59/$E$68</f>
        <v>6.0827250608272508E-2</v>
      </c>
      <c r="G59" s="770"/>
      <c r="H59" s="770"/>
      <c r="I59" s="770"/>
      <c r="J59" s="642"/>
      <c r="K59" s="646" t="s">
        <v>56</v>
      </c>
    </row>
    <row r="60" spans="2:11" ht="13.15" customHeight="1" x14ac:dyDescent="0.2">
      <c r="B60" s="654" t="s">
        <v>380</v>
      </c>
      <c r="C60" s="662">
        <f>C19</f>
        <v>0</v>
      </c>
      <c r="D60" s="670" t="s">
        <v>408</v>
      </c>
      <c r="E60" s="669">
        <f>C60</f>
        <v>0</v>
      </c>
      <c r="F60" s="697">
        <f t="shared" ref="F60:F68" ca="1" si="8">E60/$E$68</f>
        <v>0</v>
      </c>
      <c r="G60" s="770"/>
      <c r="H60" s="770"/>
      <c r="I60" s="770"/>
      <c r="J60" s="642"/>
      <c r="K60" s="646" t="s">
        <v>56</v>
      </c>
    </row>
    <row r="61" spans="2:11" ht="13.15" customHeight="1" x14ac:dyDescent="0.2">
      <c r="B61" s="654" t="s">
        <v>381</v>
      </c>
      <c r="C61" s="662">
        <f>C20</f>
        <v>0</v>
      </c>
      <c r="D61" s="670" t="s">
        <v>408</v>
      </c>
      <c r="E61" s="669">
        <f t="shared" ref="E61:E66" si="9">C61</f>
        <v>0</v>
      </c>
      <c r="F61" s="697">
        <f t="shared" ca="1" si="8"/>
        <v>0</v>
      </c>
      <c r="G61" s="770"/>
      <c r="H61" s="770"/>
      <c r="I61" s="770"/>
      <c r="J61" s="642"/>
      <c r="K61" s="646" t="s">
        <v>56</v>
      </c>
    </row>
    <row r="62" spans="2:11" ht="13.15" customHeight="1" x14ac:dyDescent="0.2">
      <c r="B62" s="654" t="s">
        <v>382</v>
      </c>
      <c r="C62" s="662">
        <f>C22</f>
        <v>0</v>
      </c>
      <c r="D62" s="670" t="s">
        <v>408</v>
      </c>
      <c r="E62" s="669">
        <f t="shared" si="9"/>
        <v>0</v>
      </c>
      <c r="F62" s="697">
        <f t="shared" ca="1" si="8"/>
        <v>0</v>
      </c>
      <c r="G62" s="770"/>
      <c r="H62" s="770"/>
      <c r="I62" s="770"/>
      <c r="J62" s="642"/>
      <c r="K62" s="646" t="s">
        <v>56</v>
      </c>
    </row>
    <row r="63" spans="2:11" ht="13.15" customHeight="1" x14ac:dyDescent="0.2">
      <c r="B63" s="651" t="s">
        <v>430</v>
      </c>
      <c r="C63" s="655">
        <f>C26</f>
        <v>0</v>
      </c>
      <c r="D63" s="670" t="s">
        <v>408</v>
      </c>
      <c r="E63" s="669">
        <f t="shared" si="9"/>
        <v>0</v>
      </c>
      <c r="F63" s="697">
        <f t="shared" ca="1" si="8"/>
        <v>0</v>
      </c>
      <c r="G63" s="770"/>
      <c r="H63" s="770"/>
      <c r="I63" s="770"/>
      <c r="J63" s="642"/>
      <c r="K63" s="646" t="s">
        <v>56</v>
      </c>
    </row>
    <row r="64" spans="2:11" ht="13.15" customHeight="1" x14ac:dyDescent="0.2">
      <c r="B64" s="651" t="s">
        <v>429</v>
      </c>
      <c r="C64" s="655">
        <f ca="1">'C. MÁQ.'!C49+'D. INSTAL.'!C46</f>
        <v>0</v>
      </c>
      <c r="D64" s="670" t="s">
        <v>408</v>
      </c>
      <c r="E64" s="669">
        <f t="shared" ca="1" si="9"/>
        <v>0</v>
      </c>
      <c r="F64" s="697">
        <f t="shared" ca="1" si="8"/>
        <v>0</v>
      </c>
      <c r="G64" s="770"/>
      <c r="H64" s="770"/>
      <c r="I64" s="770"/>
      <c r="J64" s="642"/>
      <c r="K64" s="646" t="s">
        <v>56</v>
      </c>
    </row>
    <row r="65" spans="2:11" ht="13.15" customHeight="1" x14ac:dyDescent="0.2">
      <c r="B65" s="651" t="s">
        <v>605</v>
      </c>
      <c r="C65" s="655">
        <f>'OUTROS CUSTOS'!C15+'DESPESAS (Gado)'!I34</f>
        <v>0</v>
      </c>
      <c r="D65" s="227" t="s">
        <v>408</v>
      </c>
      <c r="E65" s="669">
        <f t="shared" si="9"/>
        <v>0</v>
      </c>
      <c r="F65" s="697">
        <f t="shared" ca="1" si="8"/>
        <v>0</v>
      </c>
      <c r="G65" s="770"/>
      <c r="H65" s="770"/>
      <c r="I65" s="770"/>
      <c r="J65" s="642"/>
      <c r="K65" s="646" t="s">
        <v>56</v>
      </c>
    </row>
    <row r="66" spans="2:11" ht="13.15" customHeight="1" x14ac:dyDescent="0.2">
      <c r="B66" s="654" t="s">
        <v>383</v>
      </c>
      <c r="C66" s="662">
        <f>C21</f>
        <v>0</v>
      </c>
      <c r="D66" s="227" t="s">
        <v>408</v>
      </c>
      <c r="E66" s="669">
        <f t="shared" si="9"/>
        <v>0</v>
      </c>
      <c r="F66" s="697">
        <f t="shared" ca="1" si="8"/>
        <v>0</v>
      </c>
      <c r="G66" s="770"/>
      <c r="H66" s="770"/>
      <c r="I66" s="770"/>
      <c r="J66" s="642"/>
      <c r="K66" s="646" t="s">
        <v>56</v>
      </c>
    </row>
    <row r="67" spans="2:11" ht="13.9" customHeight="1" thickBot="1" x14ac:dyDescent="0.25">
      <c r="B67" s="651" t="s">
        <v>440</v>
      </c>
      <c r="C67" s="671" t="s">
        <v>257</v>
      </c>
      <c r="D67" s="667">
        <f>'C. MÁQ.'!C48+'D. INSTAL.'!C45</f>
        <v>4342.5</v>
      </c>
      <c r="E67" s="672">
        <f>D67</f>
        <v>4342.5</v>
      </c>
      <c r="F67" s="697">
        <f t="shared" ca="1" si="8"/>
        <v>0.93917274939172746</v>
      </c>
      <c r="G67" s="770"/>
      <c r="H67" s="770"/>
      <c r="I67" s="770"/>
      <c r="J67" s="642"/>
      <c r="K67" s="646" t="s">
        <v>56</v>
      </c>
    </row>
    <row r="68" spans="2:11" ht="13.9" customHeight="1" thickBot="1" x14ac:dyDescent="0.25">
      <c r="B68" s="699"/>
      <c r="C68" s="673">
        <f ca="1">SUM(C59:C67)</f>
        <v>0</v>
      </c>
      <c r="D68" s="674">
        <f>SUM(D59:D67)</f>
        <v>4623.75</v>
      </c>
      <c r="E68" s="675">
        <f ca="1">SUM(E59:E67)</f>
        <v>4623.75</v>
      </c>
      <c r="F68" s="700">
        <f t="shared" ca="1" si="8"/>
        <v>1</v>
      </c>
      <c r="G68" s="770"/>
      <c r="H68" s="770"/>
      <c r="I68" s="770"/>
      <c r="J68" s="642"/>
      <c r="K68" s="646" t="s">
        <v>56</v>
      </c>
    </row>
    <row r="69" spans="2:11" ht="13.15" customHeight="1" x14ac:dyDescent="0.2">
      <c r="E69" s="653"/>
      <c r="F69" s="653"/>
      <c r="G69" s="768"/>
      <c r="H69" s="768"/>
      <c r="I69" s="768"/>
      <c r="J69" s="642"/>
      <c r="K69" s="646" t="s">
        <v>56</v>
      </c>
    </row>
    <row r="70" spans="2:11" ht="13.15" customHeight="1" x14ac:dyDescent="0.2">
      <c r="B70" s="646" t="s">
        <v>56</v>
      </c>
      <c r="C70" s="653"/>
      <c r="G70" s="642"/>
      <c r="H70" s="642"/>
      <c r="I70" s="642"/>
      <c r="J70" s="642"/>
      <c r="K70" s="646" t="s">
        <v>56</v>
      </c>
    </row>
    <row r="71" spans="2:11" ht="13.15" customHeight="1" x14ac:dyDescent="0.2">
      <c r="B71" s="646" t="s">
        <v>56</v>
      </c>
      <c r="C71" s="646" t="s">
        <v>56</v>
      </c>
      <c r="D71" s="646" t="s">
        <v>56</v>
      </c>
      <c r="E71" s="646" t="s">
        <v>56</v>
      </c>
      <c r="F71" s="646" t="s">
        <v>56</v>
      </c>
      <c r="G71" s="646"/>
      <c r="H71" s="646"/>
      <c r="I71" s="646"/>
      <c r="J71" s="646" t="s">
        <v>56</v>
      </c>
      <c r="K71" s="646" t="s">
        <v>56</v>
      </c>
    </row>
    <row r="72" spans="2:11" ht="13.15" customHeight="1" x14ac:dyDescent="0.2">
      <c r="B72" s="646" t="s">
        <v>56</v>
      </c>
      <c r="C72" s="646" t="s">
        <v>56</v>
      </c>
      <c r="D72" s="646" t="s">
        <v>56</v>
      </c>
      <c r="E72" s="646" t="s">
        <v>56</v>
      </c>
      <c r="F72" s="646" t="s">
        <v>56</v>
      </c>
      <c r="G72" s="646"/>
      <c r="H72" s="646"/>
      <c r="I72" s="646"/>
      <c r="J72" s="646" t="s">
        <v>56</v>
      </c>
      <c r="K72" s="646" t="s">
        <v>56</v>
      </c>
    </row>
    <row r="73" spans="2:11" ht="13.15" customHeight="1" x14ac:dyDescent="0.2">
      <c r="B73" s="646" t="s">
        <v>56</v>
      </c>
      <c r="C73" s="646" t="s">
        <v>56</v>
      </c>
      <c r="D73" s="646" t="s">
        <v>56</v>
      </c>
      <c r="E73" s="646" t="s">
        <v>56</v>
      </c>
      <c r="F73" s="646" t="s">
        <v>56</v>
      </c>
      <c r="G73" s="646"/>
      <c r="H73" s="646"/>
      <c r="I73" s="646"/>
      <c r="J73" s="646" t="s">
        <v>56</v>
      </c>
      <c r="K73" s="646" t="s">
        <v>56</v>
      </c>
    </row>
    <row r="74" spans="2:11" ht="13.15" customHeight="1" x14ac:dyDescent="0.2">
      <c r="K74" s="646" t="s">
        <v>56</v>
      </c>
    </row>
    <row r="75" spans="2:11" x14ac:dyDescent="0.2">
      <c r="D75" s="22"/>
      <c r="E75" s="22"/>
      <c r="F75" s="22"/>
      <c r="G75" s="22"/>
      <c r="H75" s="22"/>
      <c r="I75" s="22"/>
      <c r="J75" s="22"/>
      <c r="K75" s="646" t="s">
        <v>56</v>
      </c>
    </row>
    <row r="76" spans="2:11" x14ac:dyDescent="0.2">
      <c r="B76" s="748"/>
      <c r="C76" s="748"/>
      <c r="D76" s="748"/>
      <c r="E76" s="748"/>
      <c r="F76" s="748"/>
      <c r="G76" s="748"/>
      <c r="H76" s="748"/>
    </row>
    <row r="77" spans="2:11" ht="13.5" thickBot="1" x14ac:dyDescent="0.25">
      <c r="B77" s="748"/>
      <c r="C77" s="748"/>
      <c r="D77" s="748"/>
      <c r="E77" s="748"/>
      <c r="F77" s="748"/>
      <c r="G77" s="748"/>
      <c r="H77" s="748"/>
    </row>
    <row r="78" spans="2:11" x14ac:dyDescent="0.2">
      <c r="B78" s="748"/>
      <c r="C78" s="1225"/>
      <c r="D78" s="1226"/>
      <c r="E78" s="1227"/>
      <c r="F78" s="748"/>
      <c r="G78" s="748"/>
      <c r="H78" s="748"/>
    </row>
    <row r="79" spans="2:11" x14ac:dyDescent="0.2">
      <c r="B79" s="748"/>
      <c r="C79" s="1228"/>
      <c r="D79" s="1206"/>
      <c r="E79" s="1229"/>
      <c r="F79" s="748"/>
      <c r="G79" s="748"/>
      <c r="H79" s="748"/>
    </row>
    <row r="80" spans="2:11" x14ac:dyDescent="0.2">
      <c r="B80" s="748"/>
      <c r="C80" s="1228" t="s">
        <v>533</v>
      </c>
      <c r="D80" s="1230">
        <f ca="1">C59</f>
        <v>0</v>
      </c>
      <c r="E80" s="1231">
        <f ca="1">D80/$D$87</f>
        <v>0</v>
      </c>
      <c r="F80" s="748"/>
      <c r="G80" s="748"/>
      <c r="H80" s="748"/>
    </row>
    <row r="81" spans="2:8" x14ac:dyDescent="0.2">
      <c r="B81" s="748"/>
      <c r="C81" s="1228" t="s">
        <v>196</v>
      </c>
      <c r="D81" s="1230">
        <f>D67+D59</f>
        <v>4623.75</v>
      </c>
      <c r="E81" s="1231">
        <f t="shared" ref="E81:E87" ca="1" si="10">D81/$D$87</f>
        <v>1</v>
      </c>
      <c r="F81" s="748"/>
      <c r="G81" s="748"/>
      <c r="H81" s="748"/>
    </row>
    <row r="82" spans="2:8" x14ac:dyDescent="0.2">
      <c r="B82" s="748"/>
      <c r="C82" s="1232" t="s">
        <v>639</v>
      </c>
      <c r="D82" s="1230">
        <f ca="1">E64</f>
        <v>0</v>
      </c>
      <c r="E82" s="1231">
        <f t="shared" ca="1" si="10"/>
        <v>0</v>
      </c>
      <c r="F82" s="748"/>
      <c r="G82" s="748"/>
      <c r="H82" s="748"/>
    </row>
    <row r="83" spans="2:8" x14ac:dyDescent="0.2">
      <c r="B83" s="748"/>
      <c r="C83" s="1233" t="s">
        <v>304</v>
      </c>
      <c r="D83" s="1206">
        <f>'OUTROS CUSTOS'!C13</f>
        <v>0</v>
      </c>
      <c r="E83" s="1231">
        <f t="shared" ca="1" si="10"/>
        <v>0</v>
      </c>
      <c r="F83" s="748"/>
      <c r="G83" s="748"/>
      <c r="H83" s="748"/>
    </row>
    <row r="84" spans="2:8" x14ac:dyDescent="0.2">
      <c r="B84" s="748"/>
      <c r="C84" s="1228" t="s">
        <v>139</v>
      </c>
      <c r="D84" s="1230">
        <f>(E65-D83)+E62+E66</f>
        <v>0</v>
      </c>
      <c r="E84" s="1231">
        <f t="shared" ca="1" si="10"/>
        <v>0</v>
      </c>
      <c r="F84" s="748"/>
      <c r="G84" s="748"/>
      <c r="H84" s="748"/>
    </row>
    <row r="85" spans="2:8" x14ac:dyDescent="0.2">
      <c r="B85" s="748"/>
      <c r="C85" s="1228" t="s">
        <v>640</v>
      </c>
      <c r="D85" s="1230">
        <f>E60+E61</f>
        <v>0</v>
      </c>
      <c r="E85" s="1231">
        <f t="shared" ca="1" si="10"/>
        <v>0</v>
      </c>
      <c r="F85" s="748"/>
      <c r="G85" s="748"/>
      <c r="H85" s="748"/>
    </row>
    <row r="86" spans="2:8" x14ac:dyDescent="0.2">
      <c r="B86" s="748"/>
      <c r="C86" s="1228" t="s">
        <v>641</v>
      </c>
      <c r="D86" s="1230">
        <f>E63</f>
        <v>0</v>
      </c>
      <c r="E86" s="1229">
        <f t="shared" ca="1" si="10"/>
        <v>0</v>
      </c>
      <c r="F86" s="748"/>
      <c r="G86" s="748"/>
      <c r="H86" s="748"/>
    </row>
    <row r="87" spans="2:8" ht="13.5" thickBot="1" x14ac:dyDescent="0.25">
      <c r="B87" s="748"/>
      <c r="C87" s="1234"/>
      <c r="D87" s="1235">
        <f ca="1">SUM(D80:D86)</f>
        <v>4623.75</v>
      </c>
      <c r="E87" s="1236">
        <f t="shared" ca="1" si="10"/>
        <v>1</v>
      </c>
      <c r="F87" s="1224"/>
      <c r="G87" s="748"/>
      <c r="H87" s="748"/>
    </row>
    <row r="88" spans="2:8" x14ac:dyDescent="0.2">
      <c r="B88" s="748"/>
      <c r="C88" s="748"/>
      <c r="D88" s="748"/>
      <c r="E88" s="748"/>
      <c r="F88" s="748"/>
      <c r="G88" s="748"/>
      <c r="H88" s="748"/>
    </row>
    <row r="89" spans="2:8" x14ac:dyDescent="0.2">
      <c r="B89" s="748"/>
      <c r="C89" s="748"/>
      <c r="D89" s="748"/>
      <c r="E89" s="748"/>
      <c r="F89" s="748"/>
      <c r="G89" s="748"/>
      <c r="H89" s="748"/>
    </row>
    <row r="90" spans="2:8" x14ac:dyDescent="0.2">
      <c r="B90" s="748"/>
      <c r="C90" s="748"/>
      <c r="D90" s="748"/>
      <c r="E90" s="748"/>
      <c r="F90" s="748"/>
      <c r="G90" s="748"/>
      <c r="H90" s="748"/>
    </row>
    <row r="91" spans="2:8" x14ac:dyDescent="0.2">
      <c r="B91" s="748"/>
      <c r="C91" s="748"/>
      <c r="D91" s="748"/>
      <c r="E91" s="748"/>
      <c r="F91" s="748"/>
      <c r="G91" s="748"/>
      <c r="H91" s="748"/>
    </row>
  </sheetData>
  <sheetProtection password="85A7" sheet="1" objects="1" scenarios="1" selectLockedCells="1" selectUnlockedCells="1"/>
  <mergeCells count="8">
    <mergeCell ref="G14:I14"/>
    <mergeCell ref="C1:E1"/>
    <mergeCell ref="B47:F47"/>
    <mergeCell ref="B57:F57"/>
    <mergeCell ref="C14:F14"/>
    <mergeCell ref="E2:F2"/>
    <mergeCell ref="B2:C2"/>
    <mergeCell ref="B3:D4"/>
  </mergeCells>
  <phoneticPr fontId="50" type="noConversion"/>
  <pageMargins left="0.78740157480314965" right="0.78740157480314965" top="0.98425196850393704" bottom="0.98425196850393704" header="0.51181102362204722" footer="0.51181102362204722"/>
  <pageSetup paperSize="9" scale="45" fitToHeight="2" orientation="landscape" r:id="rId1"/>
  <headerFooter alignWithMargins="0"/>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2"/>
  <dimension ref="A1"/>
  <sheetViews>
    <sheetView workbookViewId="0"/>
  </sheetViews>
  <sheetFormatPr defaultRowHeight="12.75" x14ac:dyDescent="0.2"/>
  <sheetData/>
  <phoneticPr fontId="93" type="noConversion"/>
  <pageMargins left="0.78740157499999996" right="0.78740157499999996" top="0.984251969" bottom="0.984251969" header="0.49212598499999999" footer="0.49212598499999999"/>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3"/>
  <dimension ref="A1:K31"/>
  <sheetViews>
    <sheetView topLeftCell="A7" zoomScale="75" zoomScaleNormal="75" workbookViewId="0">
      <selection activeCell="D4" sqref="D4"/>
    </sheetView>
  </sheetViews>
  <sheetFormatPr defaultColWidth="8.85546875" defaultRowHeight="12.75" x14ac:dyDescent="0.2"/>
  <cols>
    <col min="1" max="1" width="44.28515625" style="1138" customWidth="1"/>
    <col min="2" max="2" width="29.7109375" style="1138" customWidth="1"/>
    <col min="3" max="3" width="1.28515625" style="1138" customWidth="1"/>
    <col min="4" max="4" width="31.7109375" style="1138" customWidth="1"/>
    <col min="5" max="5" width="16" style="1138" customWidth="1"/>
    <col min="6" max="6" width="15.42578125" style="1138" customWidth="1"/>
    <col min="7" max="7" width="12.28515625" style="1138" customWidth="1"/>
    <col min="8" max="9" width="13.28515625" style="1138" customWidth="1"/>
    <col min="10" max="10" width="17.7109375" style="1138" customWidth="1"/>
    <col min="11" max="11" width="17.5703125" style="1138" customWidth="1"/>
    <col min="12" max="16384" width="8.85546875" style="1138"/>
  </cols>
  <sheetData>
    <row r="1" spans="1:11" ht="13.5" hidden="1" thickBot="1" x14ac:dyDescent="0.25"/>
    <row r="2" spans="1:11" ht="13.5" hidden="1" thickBot="1" x14ac:dyDescent="0.25">
      <c r="A2" s="1237" t="s">
        <v>568</v>
      </c>
      <c r="B2" s="1238" t="str">
        <f>'RESUMO RESULTADO GERAL'!C4</f>
        <v>ATIVIDADE LEITE</v>
      </c>
      <c r="C2" s="1239"/>
      <c r="D2" s="1240" t="str">
        <f>'RESUMO RESULTADO GERAL'!D4</f>
        <v/>
      </c>
      <c r="E2" s="1240" t="str">
        <f>'RESUMO RESULTADO GERAL'!E4</f>
        <v/>
      </c>
      <c r="F2" s="1240" t="str">
        <f>'RESUMO RESULTADO GERAL'!F4</f>
        <v/>
      </c>
      <c r="G2" s="1240" t="str">
        <f>'RESUMO RESULTADO GERAL'!G4</f>
        <v/>
      </c>
      <c r="H2" s="1240" t="str">
        <f>'RESUMO RESULTADO GERAL'!H4</f>
        <v/>
      </c>
      <c r="I2" s="1240" t="str">
        <f>'RESUMO RESULTADO GERAL'!I4</f>
        <v>SUINOS</v>
      </c>
      <c r="J2" s="1241" t="str">
        <f>'RESUMO RESULTADO GERAL'!J4</f>
        <v xml:space="preserve">                 AVES</v>
      </c>
      <c r="K2" s="1242" t="str">
        <f>'RESUMO RESULTADO GERAL'!K4</f>
        <v xml:space="preserve">OUTROS ANIMAIS </v>
      </c>
    </row>
    <row r="3" spans="1:11" ht="26.25" hidden="1" thickBot="1" x14ac:dyDescent="0.25">
      <c r="A3" s="1243" t="s">
        <v>565</v>
      </c>
      <c r="B3" s="1244" t="e">
        <f ca="1">'RESUMO RESULTADO GERAL'!C10/'E. TOTAL'!G4/13</f>
        <v>#DIV/0!</v>
      </c>
      <c r="C3" s="1244"/>
      <c r="D3" s="1244" t="e">
        <f ca="1">'RESUMO RESULTADO GERAL'!D10/'E. TOTAL'!G4/13</f>
        <v>#DIV/0!</v>
      </c>
      <c r="E3" s="1244" t="e">
        <f ca="1">'RESUMO RESULTADO GERAL'!E10/'E. TOTAL'!G4/13</f>
        <v>#DIV/0!</v>
      </c>
      <c r="F3" s="1244" t="e">
        <f ca="1">'RESUMO RESULTADO GERAL'!F10/'E. TOTAL'!G4/13</f>
        <v>#DIV/0!</v>
      </c>
      <c r="G3" s="1244" t="e">
        <f ca="1">'RESUMO RESULTADO GERAL'!G10/'E. TOTAL'!G4/13</f>
        <v>#DIV/0!</v>
      </c>
      <c r="H3" s="1244" t="e">
        <f ca="1">'RESUMO RESULTADO GERAL'!H10/'E. TOTAL'!G4/13</f>
        <v>#DIV/0!</v>
      </c>
      <c r="I3" s="1244" t="e">
        <f ca="1">'RESUMO RESULTADO GERAL'!I10/'E. TOTAL'!G4/13</f>
        <v>#DIV/0!</v>
      </c>
      <c r="J3" s="1244" t="e">
        <f ca="1">'RESUMO RESULTADO GERAL'!J10/'E. TOTAL'!G4/13</f>
        <v>#DIV/0!</v>
      </c>
      <c r="K3" s="1245" t="e">
        <f ca="1">'RESUMO RESULTADO GERAL'!K10/'E. TOTAL'!G4/13</f>
        <v>#DIV/0!</v>
      </c>
    </row>
    <row r="4" spans="1:11" ht="13.5" hidden="1" thickBot="1" x14ac:dyDescent="0.25">
      <c r="B4" s="1246"/>
      <c r="C4" s="1246"/>
      <c r="D4" s="1246"/>
      <c r="E4" s="1246"/>
      <c r="F4" s="1246"/>
      <c r="G4" s="1246"/>
      <c r="H4" s="1246"/>
      <c r="I4" s="1246"/>
      <c r="J4" s="1246"/>
      <c r="K4" s="1246"/>
    </row>
    <row r="5" spans="1:11" ht="13.5" hidden="1" thickBot="1" x14ac:dyDescent="0.25">
      <c r="A5" s="1247" t="s">
        <v>566</v>
      </c>
      <c r="B5" s="1248" t="s">
        <v>567</v>
      </c>
      <c r="C5" s="1248"/>
      <c r="D5" s="1249" t="e">
        <f ca="1">'res. custo cultivo e criação  '!C25</f>
        <v>#DIV/0!</v>
      </c>
      <c r="E5" s="1248" t="e">
        <f ca="1">'res. custo cultivo e criação  '!C56</f>
        <v>#DIV/0!</v>
      </c>
      <c r="F5" s="1248" t="e">
        <f ca="1">'res. custo cultivo e criação  '!C82</f>
        <v>#DIV/0!</v>
      </c>
      <c r="G5" s="1248" t="e">
        <f ca="1">'res. custo cultivo e criação  '!C109</f>
        <v>#DIV/0!</v>
      </c>
      <c r="H5" s="1248" t="e">
        <f ca="1">'res. custo cultivo e criação  '!C135</f>
        <v>#DIV/0!</v>
      </c>
      <c r="I5" s="1248" t="e">
        <f ca="1">'res. custo cultivo e criação  '!C163</f>
        <v>#DIV/0!</v>
      </c>
      <c r="J5" s="1248" t="e">
        <f ca="1">'res. custo cultivo e criação  '!C193</f>
        <v>#DIV/0!</v>
      </c>
      <c r="K5" s="845" t="e">
        <f ca="1">'res. custo cultivo e criação  '!C221</f>
        <v>#DIV/0!</v>
      </c>
    </row>
    <row r="6" spans="1:11" hidden="1" x14ac:dyDescent="0.2"/>
    <row r="7" spans="1:11" ht="13.5" thickBot="1" x14ac:dyDescent="0.25">
      <c r="A7" s="1246"/>
      <c r="C7" s="345"/>
    </row>
    <row r="8" spans="1:11" ht="31.9" customHeight="1" thickBot="1" x14ac:dyDescent="0.3">
      <c r="A8" s="3384" t="s">
        <v>569</v>
      </c>
      <c r="B8" s="3386" t="s">
        <v>584</v>
      </c>
      <c r="C8" s="1250"/>
      <c r="D8" s="3379" t="s">
        <v>570</v>
      </c>
      <c r="E8" s="2995"/>
      <c r="F8" s="3380"/>
    </row>
    <row r="9" spans="1:11" ht="26.25" x14ac:dyDescent="0.25">
      <c r="A9" s="3385"/>
      <c r="B9" s="3387"/>
      <c r="C9" s="1253"/>
      <c r="D9" s="1254" t="s">
        <v>571</v>
      </c>
      <c r="E9" s="1255" t="s">
        <v>573</v>
      </c>
      <c r="F9" s="1256" t="s">
        <v>572</v>
      </c>
    </row>
    <row r="10" spans="1:11" ht="15.75" x14ac:dyDescent="0.25">
      <c r="A10" s="1251" t="str">
        <f>'F. resultad econ. glob. detalh'!B72</f>
        <v/>
      </c>
      <c r="B10" s="1252" t="e">
        <f ca="1">'F. resultad econ. glob. detalh'!B93/SOLO!I9</f>
        <v>#DIV/0!</v>
      </c>
      <c r="C10" s="1253"/>
      <c r="D10" s="1289" t="e">
        <f ca="1">D5</f>
        <v>#DIV/0!</v>
      </c>
      <c r="E10" s="1288">
        <v>60</v>
      </c>
      <c r="F10" s="1287" t="e">
        <f ca="1">D10*E10</f>
        <v>#DIV/0!</v>
      </c>
    </row>
    <row r="11" spans="1:11" ht="15.75" x14ac:dyDescent="0.25">
      <c r="A11" s="1251" t="str">
        <f>'F. resultad econ. glob. detalh'!B97</f>
        <v/>
      </c>
      <c r="B11" s="1252" t="e">
        <f ca="1">'F. resultad econ. glob. detalh'!B125/SOLO!I10</f>
        <v>#DIV/0!</v>
      </c>
      <c r="C11" s="1253"/>
      <c r="D11" s="1289" t="e">
        <f ca="1">E5</f>
        <v>#DIV/0!</v>
      </c>
      <c r="E11" s="1288"/>
      <c r="F11" s="1287" t="e">
        <f ca="1">D11*E11</f>
        <v>#DIV/0!</v>
      </c>
    </row>
    <row r="12" spans="1:11" ht="15.75" x14ac:dyDescent="0.25">
      <c r="A12" s="1251" t="str">
        <f>'F. resultad econ. glob. detalh'!B128</f>
        <v/>
      </c>
      <c r="B12" s="1252" t="e">
        <f ca="1">'F. resultad econ. glob. detalh'!B149/SOLO!I11</f>
        <v>#DIV/0!</v>
      </c>
      <c r="C12" s="1253"/>
      <c r="D12" s="1289" t="e">
        <f ca="1">F5</f>
        <v>#DIV/0!</v>
      </c>
      <c r="E12" s="1288"/>
      <c r="F12" s="1287" t="e">
        <f ca="1">D12*E12</f>
        <v>#DIV/0!</v>
      </c>
    </row>
    <row r="13" spans="1:11" ht="15.75" x14ac:dyDescent="0.25">
      <c r="A13" s="1251" t="str">
        <f>'F. resultad econ. glob. detalh'!B152</f>
        <v/>
      </c>
      <c r="B13" s="1252" t="e">
        <f ca="1">'F. resultad econ. glob. detalh'!B174/SOLO!K13</f>
        <v>#DIV/0!</v>
      </c>
      <c r="C13" s="1253"/>
      <c r="D13" s="1289" t="e">
        <f ca="1">G5</f>
        <v>#DIV/0!</v>
      </c>
      <c r="E13" s="1288"/>
      <c r="F13" s="1287" t="e">
        <f ca="1">D13*E13</f>
        <v>#DIV/0!</v>
      </c>
    </row>
    <row r="14" spans="1:11" ht="15.75" x14ac:dyDescent="0.25">
      <c r="A14" s="1251" t="str">
        <f>'F. resultad econ. glob. detalh'!B177</f>
        <v/>
      </c>
      <c r="B14" s="1252" t="e">
        <f ca="1">'F. resultad econ. glob. detalh'!B198/SOLO!K14</f>
        <v>#DIV/0!</v>
      </c>
      <c r="C14" s="1253"/>
      <c r="D14" s="1289" t="e">
        <f ca="1">H5</f>
        <v>#DIV/0!</v>
      </c>
      <c r="E14" s="1288"/>
      <c r="F14" s="1287" t="e">
        <f ca="1">D14*E14</f>
        <v>#DIV/0!</v>
      </c>
    </row>
    <row r="15" spans="1:11" ht="15.75" x14ac:dyDescent="0.25">
      <c r="A15" s="1251" t="str">
        <f>'F. resultad econ. glob. detalh'!B201</f>
        <v>SUINOS</v>
      </c>
      <c r="B15" s="1252" t="s">
        <v>651</v>
      </c>
      <c r="C15" s="1253"/>
      <c r="D15" s="1290" t="e">
        <f ca="1">I5</f>
        <v>#DIV/0!</v>
      </c>
      <c r="E15" s="345"/>
      <c r="F15" s="1180"/>
    </row>
    <row r="16" spans="1:11" ht="15.75" x14ac:dyDescent="0.25">
      <c r="A16" s="1257" t="str">
        <f>J2</f>
        <v xml:space="preserve">                 AVES</v>
      </c>
      <c r="B16" s="1252" t="s">
        <v>651</v>
      </c>
      <c r="C16" s="1253"/>
      <c r="D16" s="1290" t="e">
        <f ca="1">J5</f>
        <v>#DIV/0!</v>
      </c>
      <c r="E16" s="345"/>
      <c r="F16" s="1180"/>
    </row>
    <row r="17" spans="1:6" ht="16.5" thickBot="1" x14ac:dyDescent="0.3">
      <c r="A17" s="1258" t="str">
        <f>K2</f>
        <v xml:space="preserve">OUTROS ANIMAIS </v>
      </c>
      <c r="B17" s="1259" t="s">
        <v>651</v>
      </c>
      <c r="C17" s="1253"/>
      <c r="D17" s="1291" t="e">
        <f ca="1">K5</f>
        <v>#DIV/0!</v>
      </c>
      <c r="E17" s="1162"/>
      <c r="F17" s="1190"/>
    </row>
    <row r="18" spans="1:6" x14ac:dyDescent="0.2">
      <c r="C18" s="345"/>
    </row>
    <row r="19" spans="1:6" ht="13.5" thickBot="1" x14ac:dyDescent="0.25">
      <c r="C19" s="345"/>
    </row>
    <row r="20" spans="1:6" ht="13.5" thickBot="1" x14ac:dyDescent="0.25">
      <c r="A20" s="3377" t="s">
        <v>395</v>
      </c>
      <c r="B20" s="3381"/>
      <c r="C20" s="3381"/>
      <c r="D20" s="3378"/>
    </row>
    <row r="21" spans="1:6" x14ac:dyDescent="0.2">
      <c r="A21" s="1260"/>
      <c r="B21" s="3382" t="s">
        <v>389</v>
      </c>
      <c r="C21" s="3383"/>
      <c r="D21" s="1261" t="s">
        <v>388</v>
      </c>
      <c r="E21" s="769"/>
    </row>
    <row r="22" spans="1:6" ht="15" x14ac:dyDescent="0.25">
      <c r="A22" s="1292">
        <f>'resultados RESUMO CUSTOS'!A17</f>
        <v>0</v>
      </c>
      <c r="B22" s="3375" t="s">
        <v>391</v>
      </c>
      <c r="C22" s="3376"/>
      <c r="D22" s="1293" t="e">
        <f ca="1">'resultados RESUMO CUSTOS'!D17</f>
        <v>#DIV/0!</v>
      </c>
    </row>
    <row r="23" spans="1:6" ht="15" x14ac:dyDescent="0.25">
      <c r="A23" s="1292">
        <f>'resultados RESUMO CUSTOS'!A18</f>
        <v>0</v>
      </c>
      <c r="B23" s="3375" t="s">
        <v>391</v>
      </c>
      <c r="C23" s="3376"/>
      <c r="D23" s="1293" t="e">
        <f ca="1">'resultados RESUMO CUSTOS'!D18</f>
        <v>#DIV/0!</v>
      </c>
    </row>
    <row r="24" spans="1:6" ht="13.5" thickBot="1" x14ac:dyDescent="0.25">
      <c r="A24" s="1262"/>
      <c r="B24" s="1263"/>
      <c r="C24" s="1263"/>
      <c r="D24" s="1264"/>
    </row>
    <row r="25" spans="1:6" ht="13.5" thickBot="1" x14ac:dyDescent="0.25"/>
    <row r="26" spans="1:6" ht="13.5" thickBot="1" x14ac:dyDescent="0.25">
      <c r="A26" s="3377" t="s">
        <v>400</v>
      </c>
      <c r="B26" s="3378"/>
      <c r="C26" s="1265"/>
      <c r="D26" s="1265"/>
      <c r="E26" s="1265"/>
      <c r="F26" s="1265"/>
    </row>
    <row r="27" spans="1:6" ht="15.75" x14ac:dyDescent="0.25">
      <c r="A27" s="1294"/>
      <c r="B27" s="1295" t="s">
        <v>398</v>
      </c>
      <c r="C27" s="769"/>
      <c r="D27" s="769"/>
      <c r="E27" s="769"/>
      <c r="F27" s="769"/>
    </row>
    <row r="28" spans="1:6" ht="15.75" x14ac:dyDescent="0.25">
      <c r="A28" s="1296" t="s">
        <v>396</v>
      </c>
      <c r="B28" s="1297" t="e">
        <f ca="1">'resultados RESUMO CUSTOS'!F23</f>
        <v>#DIV/0!</v>
      </c>
      <c r="C28" s="1266"/>
      <c r="D28" s="1267"/>
      <c r="E28" s="1268"/>
      <c r="F28" s="1268"/>
    </row>
    <row r="29" spans="1:6" ht="15.75" x14ac:dyDescent="0.25">
      <c r="A29" s="1296" t="s">
        <v>379</v>
      </c>
      <c r="B29" s="1297" t="e">
        <f>'resultados RESUMO CUSTOS'!E24</f>
        <v>#DIV/0!</v>
      </c>
      <c r="C29" s="1266"/>
      <c r="D29" s="1267"/>
      <c r="E29" s="1268"/>
      <c r="F29" s="1268"/>
    </row>
    <row r="30" spans="1:6" ht="16.5" thickBot="1" x14ac:dyDescent="0.3">
      <c r="A30" s="1298" t="s">
        <v>574</v>
      </c>
      <c r="B30" s="1299" t="e">
        <f ca="1">'resultados RESUMO CUSTOS'!F25</f>
        <v>#DIV/0!</v>
      </c>
      <c r="C30" s="1266"/>
      <c r="D30" s="1267"/>
      <c r="E30" s="1268"/>
      <c r="F30" s="1268"/>
    </row>
    <row r="31" spans="1:6" x14ac:dyDescent="0.2">
      <c r="C31" s="345"/>
      <c r="D31" s="345"/>
      <c r="E31" s="345"/>
      <c r="F31" s="345"/>
    </row>
  </sheetData>
  <mergeCells count="8">
    <mergeCell ref="B23:C23"/>
    <mergeCell ref="A26:B26"/>
    <mergeCell ref="D8:F8"/>
    <mergeCell ref="A20:D20"/>
    <mergeCell ref="B21:C21"/>
    <mergeCell ref="B22:C22"/>
    <mergeCell ref="A8:A9"/>
    <mergeCell ref="B8:B9"/>
  </mergeCells>
  <phoneticPr fontId="93" type="noConversion"/>
  <pageMargins left="0.78740157499999996" right="0.78740157499999996" top="0.984251969" bottom="0.984251969" header="0.49212598499999999" footer="0.49212598499999999"/>
  <pageSetup paperSize="9" scale="6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4"/>
  <dimension ref="A1"/>
  <sheetViews>
    <sheetView workbookViewId="0"/>
  </sheetViews>
  <sheetFormatPr defaultRowHeight="12.75" x14ac:dyDescent="0.2"/>
  <sheetData/>
  <phoneticPr fontId="93" type="noConversion"/>
  <pageMargins left="0.78740157499999996" right="0.78740157499999996" top="0.984251969" bottom="0.984251969" header="0.49212598499999999" footer="0.49212598499999999"/>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35"/>
  <dimension ref="A1:V63"/>
  <sheetViews>
    <sheetView zoomScale="85" zoomScaleNormal="85" zoomScaleSheetLayoutView="50" workbookViewId="0">
      <selection activeCell="D9" sqref="D9"/>
    </sheetView>
  </sheetViews>
  <sheetFormatPr defaultColWidth="8.85546875" defaultRowHeight="12.75" x14ac:dyDescent="0.2"/>
  <cols>
    <col min="1" max="1" width="55.7109375" style="633" customWidth="1"/>
    <col min="2" max="2" width="17" style="633" customWidth="1"/>
    <col min="3" max="3" width="18.42578125" style="633" customWidth="1"/>
    <col min="4" max="4" width="16.85546875" style="633" customWidth="1"/>
    <col min="5" max="5" width="17.5703125" style="633" customWidth="1"/>
    <col min="6" max="6" width="16.28515625" style="633" customWidth="1"/>
    <col min="7" max="7" width="26.140625" style="633" customWidth="1"/>
    <col min="8" max="8" width="18" style="633" customWidth="1"/>
    <col min="9" max="9" width="20" style="633" customWidth="1"/>
    <col min="10" max="10" width="17.42578125" style="633" customWidth="1"/>
    <col min="11" max="11" width="17.140625" style="633" customWidth="1"/>
    <col min="12" max="16384" width="8.85546875" style="633"/>
  </cols>
  <sheetData>
    <row r="1" spans="1:22" s="632" customFormat="1" ht="13.5" thickBot="1" x14ac:dyDescent="0.25"/>
    <row r="2" spans="1:22" ht="13.5" thickBot="1" x14ac:dyDescent="0.25">
      <c r="A2" s="3389" t="s">
        <v>421</v>
      </c>
      <c r="B2" s="3390"/>
      <c r="C2" s="3390"/>
      <c r="D2" s="3390"/>
      <c r="E2" s="3390"/>
      <c r="F2" s="3390"/>
      <c r="G2" s="3390"/>
      <c r="H2" s="3390"/>
      <c r="I2" s="3390"/>
      <c r="J2" s="3390"/>
      <c r="K2" s="3391"/>
      <c r="L2" s="632"/>
      <c r="M2" s="632"/>
      <c r="N2" s="632"/>
      <c r="O2" s="632"/>
      <c r="P2" s="632"/>
      <c r="Q2" s="632"/>
      <c r="R2" s="632"/>
      <c r="S2" s="632"/>
      <c r="T2" s="632"/>
      <c r="U2" s="632"/>
      <c r="V2" s="632"/>
    </row>
    <row r="3" spans="1:22" ht="13.5" thickBot="1" x14ac:dyDescent="0.25">
      <c r="A3" s="687" t="str">
        <f>CADASTRO!C4</f>
        <v>Digitar o nome</v>
      </c>
      <c r="B3" s="688">
        <f>CADASTRO!C12</f>
        <v>44013</v>
      </c>
      <c r="C3" s="634"/>
      <c r="D3" s="635">
        <f ca="1">B6-C6-D6</f>
        <v>0</v>
      </c>
      <c r="E3" s="634"/>
      <c r="F3" s="634"/>
      <c r="G3" s="634"/>
      <c r="H3" s="634"/>
      <c r="I3" s="634"/>
      <c r="J3" s="634"/>
      <c r="K3" s="636"/>
      <c r="L3" s="632"/>
      <c r="M3" s="632"/>
      <c r="N3" s="632"/>
      <c r="O3" s="632"/>
      <c r="P3" s="632"/>
      <c r="Q3" s="632"/>
      <c r="R3" s="632"/>
      <c r="S3" s="632"/>
      <c r="T3" s="632"/>
      <c r="U3" s="632"/>
      <c r="V3" s="632"/>
    </row>
    <row r="4" spans="1:22" ht="39" customHeight="1" x14ac:dyDescent="0.2">
      <c r="A4" s="637"/>
      <c r="B4" s="638" t="s">
        <v>82</v>
      </c>
      <c r="C4" s="639" t="s">
        <v>347</v>
      </c>
      <c r="D4" s="639" t="str">
        <f>'F. resultad econ. glob. detalh'!B72</f>
        <v/>
      </c>
      <c r="E4" s="639" t="str">
        <f>'F. resultad econ. glob. detalh'!B97</f>
        <v/>
      </c>
      <c r="F4" s="639" t="str">
        <f>'F. resultad econ. glob. detalh'!B128</f>
        <v/>
      </c>
      <c r="G4" s="639" t="str">
        <f>'F. resultad econ. glob. detalh'!B152</f>
        <v/>
      </c>
      <c r="H4" s="639" t="str">
        <f>'F. resultad econ. glob. detalh'!B177</f>
        <v/>
      </c>
      <c r="I4" s="639" t="str">
        <f>'F. resultad econ. glob. detalh'!B201</f>
        <v>SUINOS</v>
      </c>
      <c r="J4" s="639" t="str">
        <f>'F. resultad econ. glob. detalh'!B232</f>
        <v xml:space="preserve">                 AVES</v>
      </c>
      <c r="K4" s="640" t="str">
        <f>'F. resultad econ. glob. detalh'!B264</f>
        <v xml:space="preserve">OUTROS ANIMAIS </v>
      </c>
      <c r="L4" s="632"/>
      <c r="M4" s="632"/>
      <c r="N4" s="632"/>
      <c r="O4" s="632"/>
      <c r="P4" s="632"/>
      <c r="Q4" s="632"/>
      <c r="R4" s="632"/>
      <c r="S4" s="632"/>
      <c r="T4" s="632"/>
      <c r="U4" s="632"/>
      <c r="V4" s="632"/>
    </row>
    <row r="5" spans="1:22" s="632" customFormat="1" ht="27.6" customHeight="1" x14ac:dyDescent="0.2">
      <c r="A5" s="676" t="s">
        <v>443</v>
      </c>
      <c r="B5" s="290" t="e">
        <f>'F. resultad econ. glob. detalh'!B7</f>
        <v>#VALUE!</v>
      </c>
      <c r="C5" s="290">
        <f>'F. resultad econ. glob. detalh'!B40</f>
        <v>15200</v>
      </c>
      <c r="D5" s="290">
        <f>'F. resultad econ. glob. detalh'!B76</f>
        <v>0</v>
      </c>
      <c r="E5" s="290">
        <f>'F. resultad econ. glob. detalh'!B102</f>
        <v>0</v>
      </c>
      <c r="F5" s="290">
        <f>'F. resultad econ. glob. detalh'!B133</f>
        <v>0</v>
      </c>
      <c r="G5" s="290">
        <f>'F. resultad econ. glob. detalh'!B157</f>
        <v>0</v>
      </c>
      <c r="H5" s="290">
        <f>'F. resultad econ. glob. detalh'!B182</f>
        <v>0</v>
      </c>
      <c r="I5" s="290">
        <f>'F. resultad econ. glob. detalh'!B208</f>
        <v>0</v>
      </c>
      <c r="J5" s="290">
        <f>'F. resultad econ. glob. detalh'!B237</f>
        <v>0</v>
      </c>
      <c r="K5" s="677">
        <f>'F. resultad econ. glob. detalh'!B269</f>
        <v>0</v>
      </c>
    </row>
    <row r="6" spans="1:22" s="632" customFormat="1" ht="27" customHeight="1" x14ac:dyDescent="0.2">
      <c r="A6" s="676" t="s">
        <v>444</v>
      </c>
      <c r="B6" s="290">
        <f>'F. resultad econ. glob. detalh'!B15</f>
        <v>0</v>
      </c>
      <c r="C6" s="290">
        <f ca="1">'F. resultad econ. glob. detalh'!B58</f>
        <v>0</v>
      </c>
      <c r="D6" s="290">
        <f ca="1">'F. resultad econ. glob. detalh'!B84</f>
        <v>0</v>
      </c>
      <c r="E6" s="290">
        <f ca="1">'F. resultad econ. glob. detalh'!B111</f>
        <v>0</v>
      </c>
      <c r="F6" s="290">
        <f ca="1">'F. resultad econ. glob. detalh'!B140</f>
        <v>0</v>
      </c>
      <c r="G6" s="290">
        <f ca="1">'F. resultad econ. glob. detalh'!B164</f>
        <v>0</v>
      </c>
      <c r="H6" s="290">
        <f ca="1">'F. resultad econ. glob. detalh'!B189</f>
        <v>0</v>
      </c>
      <c r="I6" s="290">
        <f ca="1">'F. resultad econ. glob. detalh'!B219</f>
        <v>0</v>
      </c>
      <c r="J6" s="290">
        <f ca="1">'F. resultad econ. glob. detalh'!B247</f>
        <v>0</v>
      </c>
      <c r="K6" s="677">
        <f ca="1">'F. resultad econ. glob. detalh'!B281</f>
        <v>0</v>
      </c>
    </row>
    <row r="7" spans="1:22" s="632" customFormat="1" ht="20.100000000000001" customHeight="1" x14ac:dyDescent="0.2">
      <c r="A7" s="676" t="s">
        <v>446</v>
      </c>
      <c r="B7" s="290">
        <f>'F. resultad econ. glob. detalh'!B16</f>
        <v>5805</v>
      </c>
      <c r="C7" s="290">
        <f>'F. resultad econ. glob. detalh'!B63</f>
        <v>4623.75</v>
      </c>
      <c r="D7" s="290">
        <f>'F. resultad econ. glob. detalh'!B88</f>
        <v>0</v>
      </c>
      <c r="E7" s="290">
        <f>'F. resultad econ. glob. detalh'!B116</f>
        <v>0</v>
      </c>
      <c r="F7" s="290">
        <f>'F. resultad econ. glob. detalh'!B144</f>
        <v>0</v>
      </c>
      <c r="G7" s="290">
        <f>'F. resultad econ. glob. detalh'!B168</f>
        <v>0</v>
      </c>
      <c r="H7" s="290">
        <f>'F. resultad econ. glob. detalh'!B193</f>
        <v>0</v>
      </c>
      <c r="I7" s="290">
        <f>'F. resultad econ. glob. detalh'!B224</f>
        <v>0</v>
      </c>
      <c r="J7" s="290">
        <f>'F. resultad econ. glob. detalh'!B252</f>
        <v>0</v>
      </c>
      <c r="K7" s="677">
        <f>'F. resultad econ. glob. detalh'!B286</f>
        <v>0</v>
      </c>
    </row>
    <row r="8" spans="1:22" s="632" customFormat="1" ht="20.100000000000001" customHeight="1" x14ac:dyDescent="0.2">
      <c r="A8" s="676" t="s">
        <v>445</v>
      </c>
      <c r="B8" s="290">
        <f>B6+B7</f>
        <v>5805</v>
      </c>
      <c r="C8" s="290">
        <f t="shared" ref="C8:K8" ca="1" si="0">C6+C7</f>
        <v>4623.75</v>
      </c>
      <c r="D8" s="290">
        <f t="shared" ca="1" si="0"/>
        <v>0</v>
      </c>
      <c r="E8" s="290">
        <f t="shared" ca="1" si="0"/>
        <v>0</v>
      </c>
      <c r="F8" s="290">
        <f t="shared" ca="1" si="0"/>
        <v>0</v>
      </c>
      <c r="G8" s="290">
        <f t="shared" ca="1" si="0"/>
        <v>0</v>
      </c>
      <c r="H8" s="290">
        <f t="shared" ca="1" si="0"/>
        <v>0</v>
      </c>
      <c r="I8" s="290">
        <f t="shared" ca="1" si="0"/>
        <v>0</v>
      </c>
      <c r="J8" s="290">
        <f t="shared" ca="1" si="0"/>
        <v>0</v>
      </c>
      <c r="K8" s="677">
        <f t="shared" ca="1" si="0"/>
        <v>0</v>
      </c>
    </row>
    <row r="9" spans="1:22" s="632" customFormat="1" ht="20.100000000000001" customHeight="1" x14ac:dyDescent="0.2">
      <c r="A9" s="678" t="s">
        <v>447</v>
      </c>
      <c r="B9" s="290" t="e">
        <f>B5-B6</f>
        <v>#VALUE!</v>
      </c>
      <c r="C9" s="290">
        <f t="shared" ref="C9:K9" ca="1" si="1">C5-C6</f>
        <v>15200</v>
      </c>
      <c r="D9" s="290">
        <f t="shared" ca="1" si="1"/>
        <v>0</v>
      </c>
      <c r="E9" s="290">
        <f t="shared" ca="1" si="1"/>
        <v>0</v>
      </c>
      <c r="F9" s="290">
        <f t="shared" ca="1" si="1"/>
        <v>0</v>
      </c>
      <c r="G9" s="290">
        <f t="shared" ca="1" si="1"/>
        <v>0</v>
      </c>
      <c r="H9" s="290">
        <f t="shared" ca="1" si="1"/>
        <v>0</v>
      </c>
      <c r="I9" s="290">
        <f t="shared" ca="1" si="1"/>
        <v>0</v>
      </c>
      <c r="J9" s="290">
        <f t="shared" ca="1" si="1"/>
        <v>0</v>
      </c>
      <c r="K9" s="677">
        <f t="shared" ca="1" si="1"/>
        <v>0</v>
      </c>
    </row>
    <row r="10" spans="1:22" s="632" customFormat="1" ht="20.100000000000001" customHeight="1" x14ac:dyDescent="0.2">
      <c r="A10" s="678" t="s">
        <v>448</v>
      </c>
      <c r="B10" s="290" t="e">
        <f>B9-B7</f>
        <v>#VALUE!</v>
      </c>
      <c r="C10" s="290">
        <f t="shared" ref="C10:K10" ca="1" si="2">C9-C7</f>
        <v>10576.25</v>
      </c>
      <c r="D10" s="290">
        <f t="shared" ca="1" si="2"/>
        <v>0</v>
      </c>
      <c r="E10" s="290">
        <f t="shared" ca="1" si="2"/>
        <v>0</v>
      </c>
      <c r="F10" s="290">
        <f t="shared" ca="1" si="2"/>
        <v>0</v>
      </c>
      <c r="G10" s="290">
        <f t="shared" ca="1" si="2"/>
        <v>0</v>
      </c>
      <c r="H10" s="290">
        <f t="shared" ca="1" si="2"/>
        <v>0</v>
      </c>
      <c r="I10" s="290">
        <f t="shared" ca="1" si="2"/>
        <v>0</v>
      </c>
      <c r="J10" s="290">
        <f t="shared" ca="1" si="2"/>
        <v>0</v>
      </c>
      <c r="K10" s="677">
        <f t="shared" ca="1" si="2"/>
        <v>0</v>
      </c>
    </row>
    <row r="11" spans="1:22" s="632" customFormat="1" ht="20.100000000000001" customHeight="1" x14ac:dyDescent="0.2">
      <c r="A11" s="678" t="s">
        <v>422</v>
      </c>
      <c r="B11" s="290" t="e">
        <f>B10/13</f>
        <v>#VALUE!</v>
      </c>
      <c r="C11" s="290">
        <f t="shared" ref="C11:K11" ca="1" si="3">C10/13</f>
        <v>813.55769230769226</v>
      </c>
      <c r="D11" s="290">
        <f t="shared" ca="1" si="3"/>
        <v>0</v>
      </c>
      <c r="E11" s="290">
        <f t="shared" ca="1" si="3"/>
        <v>0</v>
      </c>
      <c r="F11" s="290">
        <f t="shared" ca="1" si="3"/>
        <v>0</v>
      </c>
      <c r="G11" s="290">
        <f t="shared" ca="1" si="3"/>
        <v>0</v>
      </c>
      <c r="H11" s="290">
        <f t="shared" ca="1" si="3"/>
        <v>0</v>
      </c>
      <c r="I11" s="290">
        <f t="shared" ca="1" si="3"/>
        <v>0</v>
      </c>
      <c r="J11" s="290">
        <f t="shared" ca="1" si="3"/>
        <v>0</v>
      </c>
      <c r="K11" s="677">
        <f t="shared" ca="1" si="3"/>
        <v>0</v>
      </c>
    </row>
    <row r="12" spans="1:22" s="632" customFormat="1" ht="20.100000000000001" customHeight="1" x14ac:dyDescent="0.2">
      <c r="A12" s="676" t="s">
        <v>349</v>
      </c>
      <c r="B12" s="290">
        <f>'F. resultad econ. glob. detalh'!B23</f>
        <v>0</v>
      </c>
      <c r="C12" s="259" t="s">
        <v>354</v>
      </c>
      <c r="D12" s="259" t="s">
        <v>354</v>
      </c>
      <c r="E12" s="259" t="s">
        <v>354</v>
      </c>
      <c r="F12" s="259" t="s">
        <v>354</v>
      </c>
      <c r="G12" s="259" t="s">
        <v>354</v>
      </c>
      <c r="H12" s="259" t="s">
        <v>354</v>
      </c>
      <c r="I12" s="259" t="s">
        <v>354</v>
      </c>
      <c r="J12" s="259" t="s">
        <v>354</v>
      </c>
      <c r="K12" s="679" t="s">
        <v>354</v>
      </c>
    </row>
    <row r="13" spans="1:22" s="632" customFormat="1" ht="20.100000000000001" customHeight="1" x14ac:dyDescent="0.2">
      <c r="A13" s="676" t="s">
        <v>449</v>
      </c>
      <c r="B13" s="290" t="e">
        <f>'F. resultad econ. glob. detalh'!B24</f>
        <v>#VALUE!</v>
      </c>
      <c r="C13" s="290">
        <f ca="1">C10</f>
        <v>10576.25</v>
      </c>
      <c r="D13" s="290">
        <f t="shared" ref="D13:K13" ca="1" si="4">D10</f>
        <v>0</v>
      </c>
      <c r="E13" s="290">
        <f t="shared" ca="1" si="4"/>
        <v>0</v>
      </c>
      <c r="F13" s="290">
        <f t="shared" ca="1" si="4"/>
        <v>0</v>
      </c>
      <c r="G13" s="290">
        <f t="shared" ca="1" si="4"/>
        <v>0</v>
      </c>
      <c r="H13" s="290">
        <f t="shared" ca="1" si="4"/>
        <v>0</v>
      </c>
      <c r="I13" s="290">
        <f t="shared" ca="1" si="4"/>
        <v>0</v>
      </c>
      <c r="J13" s="290">
        <f t="shared" ca="1" si="4"/>
        <v>0</v>
      </c>
      <c r="K13" s="677">
        <f t="shared" ca="1" si="4"/>
        <v>0</v>
      </c>
    </row>
    <row r="14" spans="1:22" s="632" customFormat="1" ht="20.100000000000001" customHeight="1" x14ac:dyDescent="0.2">
      <c r="A14" s="676"/>
      <c r="B14" s="290"/>
      <c r="C14" s="290"/>
      <c r="D14" s="290"/>
      <c r="E14" s="290"/>
      <c r="F14" s="290"/>
      <c r="G14" s="290"/>
      <c r="H14" s="290"/>
      <c r="I14" s="290"/>
      <c r="J14" s="290"/>
      <c r="K14" s="677"/>
    </row>
    <row r="15" spans="1:22" s="632" customFormat="1" ht="20.100000000000001" customHeight="1" x14ac:dyDescent="0.2">
      <c r="A15" s="676" t="s">
        <v>438</v>
      </c>
      <c r="B15" s="290" t="e">
        <f>B9/SOLO!$I$43</f>
        <v>#VALUE!</v>
      </c>
      <c r="C15" s="290" t="e">
        <f ca="1">C9/'B. resultados tecnicos leite'!B8</f>
        <v>#DIV/0!</v>
      </c>
      <c r="D15" s="290" t="e">
        <f ca="1">D9/SOLO!I9</f>
        <v>#DIV/0!</v>
      </c>
      <c r="E15" s="680" t="e">
        <f ca="1">E9/SOLO!I10</f>
        <v>#DIV/0!</v>
      </c>
      <c r="F15" s="680" t="e">
        <f ca="1">F9/SOLO!I11</f>
        <v>#DIV/0!</v>
      </c>
      <c r="G15" s="681" t="e">
        <f ca="1">G9/SOLO!I13</f>
        <v>#DIV/0!</v>
      </c>
      <c r="H15" s="680" t="e">
        <f ca="1">H9/SOLO!J14</f>
        <v>#DIV/0!</v>
      </c>
      <c r="I15" s="290" t="s">
        <v>436</v>
      </c>
      <c r="J15" s="290" t="s">
        <v>257</v>
      </c>
      <c r="K15" s="677" t="s">
        <v>437</v>
      </c>
    </row>
    <row r="16" spans="1:22" s="632" customFormat="1" ht="20.100000000000001" customHeight="1" x14ac:dyDescent="0.2">
      <c r="A16" s="676" t="s">
        <v>350</v>
      </c>
      <c r="B16" s="290" t="e">
        <f>B10/SOLO!$I$43</f>
        <v>#VALUE!</v>
      </c>
      <c r="C16" s="290" t="e">
        <f ca="1">C10/'B. resultados tecnicos leite'!B8</f>
        <v>#DIV/0!</v>
      </c>
      <c r="D16" s="290"/>
      <c r="E16" s="290"/>
      <c r="F16" s="290"/>
      <c r="G16" s="290"/>
      <c r="H16" s="290"/>
      <c r="I16" s="290"/>
      <c r="J16" s="290"/>
      <c r="K16" s="677"/>
    </row>
    <row r="17" spans="1:11" s="632" customFormat="1" ht="20.100000000000001" customHeight="1" x14ac:dyDescent="0.2">
      <c r="A17" s="676"/>
      <c r="B17" s="290"/>
      <c r="C17" s="290"/>
      <c r="D17" s="290"/>
      <c r="E17" s="290"/>
      <c r="F17" s="290"/>
      <c r="G17" s="290"/>
      <c r="H17" s="290"/>
      <c r="I17" s="290"/>
      <c r="J17" s="290"/>
      <c r="K17" s="677"/>
    </row>
    <row r="18" spans="1:11" s="632" customFormat="1" ht="20.100000000000001" customHeight="1" x14ac:dyDescent="0.2">
      <c r="A18" s="676"/>
      <c r="B18" s="290"/>
      <c r="C18" s="290"/>
      <c r="D18" s="290"/>
      <c r="E18" s="290"/>
      <c r="F18" s="290"/>
      <c r="G18" s="290"/>
      <c r="H18" s="290"/>
      <c r="I18" s="290"/>
      <c r="J18" s="290"/>
      <c r="K18" s="677"/>
    </row>
    <row r="19" spans="1:11" s="632" customFormat="1" ht="46.15" customHeight="1" x14ac:dyDescent="0.2">
      <c r="A19" s="676" t="s">
        <v>450</v>
      </c>
      <c r="B19" s="290" t="e">
        <f>B9/M.oBRA!$F$18</f>
        <v>#VALUE!</v>
      </c>
      <c r="C19" s="290" t="e">
        <f ca="1">C9/M.oBRA!$F$18</f>
        <v>#DIV/0!</v>
      </c>
      <c r="D19" s="290" t="e">
        <f ca="1">D9/M.oBRA!$F$18</f>
        <v>#DIV/0!</v>
      </c>
      <c r="E19" s="290" t="e">
        <f ca="1">E9/M.oBRA!$F$18</f>
        <v>#DIV/0!</v>
      </c>
      <c r="F19" s="290" t="e">
        <f ca="1">F9/M.oBRA!$F$18</f>
        <v>#DIV/0!</v>
      </c>
      <c r="G19" s="290" t="e">
        <f ca="1">G9/M.oBRA!$F$18</f>
        <v>#DIV/0!</v>
      </c>
      <c r="H19" s="290" t="e">
        <f ca="1">H9/M.oBRA!$F$18</f>
        <v>#DIV/0!</v>
      </c>
      <c r="I19" s="290" t="e">
        <f ca="1">I9/M.oBRA!$F$18</f>
        <v>#DIV/0!</v>
      </c>
      <c r="J19" s="290" t="e">
        <f ca="1">J9/M.oBRA!$F$18</f>
        <v>#DIV/0!</v>
      </c>
      <c r="K19" s="677" t="e">
        <f ca="1">K9/M.oBRA!$F$18</f>
        <v>#DIV/0!</v>
      </c>
    </row>
    <row r="20" spans="1:11" s="632" customFormat="1" ht="34.15" customHeight="1" x14ac:dyDescent="0.2">
      <c r="A20" s="676" t="s">
        <v>451</v>
      </c>
      <c r="B20" s="290" t="e">
        <f>B10/M.oBRA!$F$18</f>
        <v>#VALUE!</v>
      </c>
      <c r="C20" s="290" t="e">
        <f ca="1">C10/M.oBRA!$F$18</f>
        <v>#DIV/0!</v>
      </c>
      <c r="D20" s="290" t="e">
        <f ca="1">D10/M.oBRA!$F$18</f>
        <v>#DIV/0!</v>
      </c>
      <c r="E20" s="290" t="e">
        <f ca="1">E10/M.oBRA!$F$18</f>
        <v>#DIV/0!</v>
      </c>
      <c r="F20" s="290" t="e">
        <f ca="1">F10/M.oBRA!$F$18</f>
        <v>#DIV/0!</v>
      </c>
      <c r="G20" s="290" t="e">
        <f ca="1">G10/M.oBRA!$F$18</f>
        <v>#DIV/0!</v>
      </c>
      <c r="H20" s="290" t="e">
        <f ca="1">H10/M.oBRA!$F$18</f>
        <v>#DIV/0!</v>
      </c>
      <c r="I20" s="290" t="e">
        <f ca="1">I10/M.oBRA!$F$18</f>
        <v>#DIV/0!</v>
      </c>
      <c r="J20" s="290" t="e">
        <f ca="1">J10/M.oBRA!$F$18</f>
        <v>#DIV/0!</v>
      </c>
      <c r="K20" s="677" t="e">
        <f ca="1">K10/M.oBRA!$F$18</f>
        <v>#DIV/0!</v>
      </c>
    </row>
    <row r="21" spans="1:11" s="632" customFormat="1" ht="20.100000000000001" customHeight="1" x14ac:dyDescent="0.2">
      <c r="A21" s="676"/>
      <c r="B21" s="290"/>
      <c r="C21" s="290"/>
      <c r="D21" s="290"/>
      <c r="E21" s="290"/>
      <c r="F21" s="290"/>
      <c r="G21" s="290"/>
      <c r="H21" s="290"/>
      <c r="I21" s="290"/>
      <c r="J21" s="290"/>
      <c r="K21" s="677"/>
    </row>
    <row r="22" spans="1:11" s="632" customFormat="1" ht="36" customHeight="1" x14ac:dyDescent="0.2">
      <c r="A22" s="676" t="s">
        <v>351</v>
      </c>
      <c r="B22" s="290" t="e">
        <f>B19/13</f>
        <v>#VALUE!</v>
      </c>
      <c r="C22" s="290" t="e">
        <f t="shared" ref="C22:K22" ca="1" si="5">C19/13</f>
        <v>#DIV/0!</v>
      </c>
      <c r="D22" s="290" t="e">
        <f t="shared" ca="1" si="5"/>
        <v>#DIV/0!</v>
      </c>
      <c r="E22" s="290" t="e">
        <f t="shared" ca="1" si="5"/>
        <v>#DIV/0!</v>
      </c>
      <c r="F22" s="290" t="e">
        <f t="shared" ca="1" si="5"/>
        <v>#DIV/0!</v>
      </c>
      <c r="G22" s="290" t="e">
        <f t="shared" ca="1" si="5"/>
        <v>#DIV/0!</v>
      </c>
      <c r="H22" s="290" t="e">
        <f t="shared" ca="1" si="5"/>
        <v>#DIV/0!</v>
      </c>
      <c r="I22" s="290" t="e">
        <f t="shared" ca="1" si="5"/>
        <v>#DIV/0!</v>
      </c>
      <c r="J22" s="290" t="e">
        <f t="shared" ca="1" si="5"/>
        <v>#DIV/0!</v>
      </c>
      <c r="K22" s="677" t="e">
        <f t="shared" ca="1" si="5"/>
        <v>#DIV/0!</v>
      </c>
    </row>
    <row r="23" spans="1:11" s="632" customFormat="1" ht="34.15" customHeight="1" x14ac:dyDescent="0.2">
      <c r="A23" s="676" t="s">
        <v>352</v>
      </c>
      <c r="B23" s="290" t="e">
        <f>B20/13</f>
        <v>#VALUE!</v>
      </c>
      <c r="C23" s="290" t="e">
        <f t="shared" ref="C23:K23" ca="1" si="6">C20/13</f>
        <v>#DIV/0!</v>
      </c>
      <c r="D23" s="290" t="e">
        <f t="shared" ca="1" si="6"/>
        <v>#DIV/0!</v>
      </c>
      <c r="E23" s="290" t="e">
        <f t="shared" ca="1" si="6"/>
        <v>#DIV/0!</v>
      </c>
      <c r="F23" s="290" t="e">
        <f t="shared" ca="1" si="6"/>
        <v>#DIV/0!</v>
      </c>
      <c r="G23" s="290" t="e">
        <f t="shared" ca="1" si="6"/>
        <v>#DIV/0!</v>
      </c>
      <c r="H23" s="290" t="e">
        <f t="shared" ca="1" si="6"/>
        <v>#DIV/0!</v>
      </c>
      <c r="I23" s="290" t="e">
        <f t="shared" ca="1" si="6"/>
        <v>#DIV/0!</v>
      </c>
      <c r="J23" s="290" t="e">
        <f t="shared" ca="1" si="6"/>
        <v>#DIV/0!</v>
      </c>
      <c r="K23" s="677" t="e">
        <f t="shared" ca="1" si="6"/>
        <v>#DIV/0!</v>
      </c>
    </row>
    <row r="24" spans="1:11" s="632" customFormat="1" ht="20.100000000000001" customHeight="1" x14ac:dyDescent="0.2">
      <c r="A24" s="676"/>
      <c r="B24" s="290"/>
      <c r="C24" s="290"/>
      <c r="D24" s="290"/>
      <c r="E24" s="290"/>
      <c r="F24" s="290"/>
      <c r="G24" s="290"/>
      <c r="H24" s="290"/>
      <c r="I24" s="290"/>
      <c r="J24" s="290"/>
      <c r="K24" s="677"/>
    </row>
    <row r="25" spans="1:11" s="632" customFormat="1" ht="20.100000000000001" customHeight="1" x14ac:dyDescent="0.2">
      <c r="A25" s="676" t="s">
        <v>404</v>
      </c>
      <c r="B25" s="290"/>
      <c r="C25" s="290" t="e">
        <f ca="1">C9/(REBANHO!C8+REBANHO!C9)</f>
        <v>#DIV/0!</v>
      </c>
      <c r="D25" s="290"/>
      <c r="E25" s="290"/>
      <c r="F25" s="290"/>
      <c r="G25" s="290"/>
      <c r="H25" s="290"/>
      <c r="I25" s="290"/>
      <c r="J25" s="290"/>
      <c r="K25" s="677"/>
    </row>
    <row r="26" spans="1:11" s="632" customFormat="1" ht="20.100000000000001" customHeight="1" x14ac:dyDescent="0.2">
      <c r="A26" s="676" t="s">
        <v>405</v>
      </c>
      <c r="B26" s="290"/>
      <c r="C26" s="290" t="e">
        <f ca="1">C10/(REBANHO!C8+REBANHO!C9)</f>
        <v>#DIV/0!</v>
      </c>
      <c r="D26" s="290"/>
      <c r="E26" s="290"/>
      <c r="F26" s="290"/>
      <c r="G26" s="290"/>
      <c r="H26" s="290"/>
      <c r="I26" s="290"/>
      <c r="J26" s="290"/>
      <c r="K26" s="677"/>
    </row>
    <row r="27" spans="1:11" s="632" customFormat="1" ht="20.100000000000001" customHeight="1" x14ac:dyDescent="0.2">
      <c r="A27" s="676" t="s">
        <v>353</v>
      </c>
      <c r="B27" s="290" t="e">
        <f>B12/M.oBRA!$F$18</f>
        <v>#DIV/0!</v>
      </c>
      <c r="C27" s="682" t="s">
        <v>355</v>
      </c>
      <c r="D27" s="290" t="s">
        <v>355</v>
      </c>
      <c r="E27" s="290" t="s">
        <v>355</v>
      </c>
      <c r="F27" s="290" t="s">
        <v>355</v>
      </c>
      <c r="G27" s="290" t="s">
        <v>355</v>
      </c>
      <c r="H27" s="290" t="s">
        <v>355</v>
      </c>
      <c r="I27" s="290" t="s">
        <v>355</v>
      </c>
      <c r="J27" s="290" t="s">
        <v>355</v>
      </c>
      <c r="K27" s="677" t="s">
        <v>355</v>
      </c>
    </row>
    <row r="28" spans="1:11" s="632" customFormat="1" ht="26.45" customHeight="1" thickBot="1" x14ac:dyDescent="0.25">
      <c r="A28" s="683" t="s">
        <v>452</v>
      </c>
      <c r="B28" s="684" t="e">
        <f>B13/M.oBRA!$F$18</f>
        <v>#VALUE!</v>
      </c>
      <c r="C28" s="684" t="e">
        <f ca="1">C13/M.oBRA!$F$18</f>
        <v>#DIV/0!</v>
      </c>
      <c r="D28" s="684" t="e">
        <f ca="1">D13/M.oBRA!$F$18</f>
        <v>#DIV/0!</v>
      </c>
      <c r="E28" s="684" t="e">
        <f ca="1">E13/M.oBRA!$F$18</f>
        <v>#DIV/0!</v>
      </c>
      <c r="F28" s="684" t="e">
        <f ca="1">F13/M.oBRA!$F$18</f>
        <v>#DIV/0!</v>
      </c>
      <c r="G28" s="684" t="e">
        <f ca="1">G13/M.oBRA!$F$18</f>
        <v>#DIV/0!</v>
      </c>
      <c r="H28" s="684" t="e">
        <f ca="1">H13/M.oBRA!$F$18</f>
        <v>#DIV/0!</v>
      </c>
      <c r="I28" s="684" t="e">
        <f ca="1">I13/M.oBRA!$F$18</f>
        <v>#DIV/0!</v>
      </c>
      <c r="J28" s="684" t="e">
        <f ca="1">J13/M.oBRA!$F$18</f>
        <v>#DIV/0!</v>
      </c>
      <c r="K28" s="685" t="e">
        <f ca="1">K13/M.oBRA!$F$18</f>
        <v>#DIV/0!</v>
      </c>
    </row>
    <row r="29" spans="1:11" s="632" customFormat="1" x14ac:dyDescent="0.2">
      <c r="B29" s="686"/>
    </row>
    <row r="30" spans="1:11" s="632" customFormat="1" x14ac:dyDescent="0.2"/>
    <row r="31" spans="1:11" s="632" customFormat="1" x14ac:dyDescent="0.2"/>
    <row r="32" spans="1:11" s="632" customFormat="1" x14ac:dyDescent="0.2">
      <c r="A32" s="641"/>
      <c r="B32" s="641"/>
      <c r="C32" s="641"/>
      <c r="D32" s="641"/>
    </row>
    <row r="33" spans="1:11" s="632" customFormat="1" x14ac:dyDescent="0.2">
      <c r="A33" s="225"/>
      <c r="B33" s="225"/>
      <c r="C33" s="225"/>
      <c r="D33" s="225"/>
    </row>
    <row r="34" spans="1:11" s="632" customFormat="1" x14ac:dyDescent="0.2">
      <c r="A34" s="225"/>
      <c r="B34" s="225"/>
      <c r="C34" s="225"/>
      <c r="D34" s="225"/>
    </row>
    <row r="35" spans="1:11" s="632" customFormat="1" x14ac:dyDescent="0.2">
      <c r="A35" s="225"/>
      <c r="B35" s="225"/>
      <c r="C35" s="225"/>
      <c r="D35" s="225"/>
    </row>
    <row r="36" spans="1:11" s="632" customFormat="1" ht="13.5" thickBot="1" x14ac:dyDescent="0.25">
      <c r="A36" s="225"/>
      <c r="B36" s="225"/>
      <c r="C36" s="225"/>
      <c r="D36" s="225"/>
    </row>
    <row r="37" spans="1:11" s="632" customFormat="1" ht="18.75" thickBot="1" x14ac:dyDescent="0.3">
      <c r="A37" s="934" t="s">
        <v>439</v>
      </c>
      <c r="B37" s="935" t="e">
        <f>B10</f>
        <v>#VALUE!</v>
      </c>
      <c r="C37" s="936"/>
      <c r="D37" s="936"/>
      <c r="F37" s="3392" t="s">
        <v>722</v>
      </c>
      <c r="G37" s="3393"/>
      <c r="H37" s="3393"/>
      <c r="I37" s="3393"/>
      <c r="J37" s="3393"/>
      <c r="K37" s="3394"/>
    </row>
    <row r="38" spans="1:11" s="632" customFormat="1" x14ac:dyDescent="0.2">
      <c r="A38" s="934" t="s">
        <v>349</v>
      </c>
      <c r="B38" s="937">
        <f>B12</f>
        <v>0</v>
      </c>
      <c r="C38" s="936"/>
      <c r="D38" s="936"/>
      <c r="F38" s="1644"/>
      <c r="G38" s="1645"/>
      <c r="H38" s="1645"/>
      <c r="I38" s="1645"/>
      <c r="J38" s="1645"/>
      <c r="K38" s="1646"/>
    </row>
    <row r="39" spans="1:11" s="632" customFormat="1" x14ac:dyDescent="0.2">
      <c r="A39" s="936"/>
      <c r="B39" s="936"/>
      <c r="C39" s="936"/>
      <c r="D39" s="936"/>
      <c r="F39" s="1647"/>
      <c r="G39" s="951"/>
      <c r="H39" s="951"/>
      <c r="I39" s="951"/>
      <c r="J39" s="951"/>
      <c r="K39" s="1648"/>
    </row>
    <row r="40" spans="1:11" s="632" customFormat="1" x14ac:dyDescent="0.2">
      <c r="A40" s="936" t="s">
        <v>442</v>
      </c>
      <c r="B40" s="937" t="e">
        <f>B5</f>
        <v>#VALUE!</v>
      </c>
      <c r="C40" s="938" t="e">
        <f>B40/$B$40</f>
        <v>#VALUE!</v>
      </c>
      <c r="D40" s="936"/>
      <c r="F40" s="1647"/>
      <c r="G40" s="951"/>
      <c r="H40" s="951"/>
      <c r="I40" s="951"/>
      <c r="J40" s="951"/>
      <c r="K40" s="1648"/>
    </row>
    <row r="41" spans="1:11" s="632" customFormat="1" x14ac:dyDescent="0.2">
      <c r="A41" s="936" t="s">
        <v>688</v>
      </c>
      <c r="B41" s="942">
        <f>B6</f>
        <v>0</v>
      </c>
      <c r="C41" s="943" t="e">
        <f>B41/$B$40</f>
        <v>#VALUE!</v>
      </c>
      <c r="D41" s="936"/>
      <c r="F41" s="1657"/>
      <c r="G41" s="1658"/>
      <c r="H41" s="1656"/>
      <c r="I41" s="951"/>
      <c r="J41" s="951"/>
      <c r="K41" s="1648"/>
    </row>
    <row r="42" spans="1:11" s="632" customFormat="1" x14ac:dyDescent="0.2">
      <c r="A42" s="936" t="s">
        <v>687</v>
      </c>
      <c r="B42" s="942">
        <f>B7</f>
        <v>5805</v>
      </c>
      <c r="C42" s="943" t="e">
        <f>B42/$B$40</f>
        <v>#VALUE!</v>
      </c>
      <c r="D42" s="936"/>
      <c r="F42" s="1657"/>
      <c r="G42" s="1658" t="s">
        <v>723</v>
      </c>
      <c r="H42" s="945">
        <f>B45</f>
        <v>15200</v>
      </c>
      <c r="I42" s="951"/>
      <c r="J42" s="951"/>
      <c r="K42" s="1648"/>
    </row>
    <row r="43" spans="1:11" s="632" customFormat="1" x14ac:dyDescent="0.2">
      <c r="A43" s="936" t="s">
        <v>348</v>
      </c>
      <c r="B43" s="942" t="e">
        <f>B10</f>
        <v>#VALUE!</v>
      </c>
      <c r="C43" s="943" t="e">
        <f>B43/$B$40</f>
        <v>#VALUE!</v>
      </c>
      <c r="D43" s="936"/>
      <c r="F43" s="1657"/>
      <c r="G43" s="1658" t="s">
        <v>688</v>
      </c>
      <c r="H43" s="945">
        <f ca="1">B46</f>
        <v>0</v>
      </c>
      <c r="I43" s="951"/>
      <c r="J43" s="951"/>
      <c r="K43" s="1648"/>
    </row>
    <row r="44" spans="1:11" s="632" customFormat="1" x14ac:dyDescent="0.2">
      <c r="A44" s="936"/>
      <c r="B44" s="936"/>
      <c r="C44" s="936"/>
      <c r="D44" s="936"/>
      <c r="F44" s="1657"/>
      <c r="G44" s="1658" t="s">
        <v>724</v>
      </c>
      <c r="H44" s="945">
        <f>B47</f>
        <v>4623.75</v>
      </c>
      <c r="I44" s="951"/>
      <c r="J44" s="951"/>
      <c r="K44" s="1648"/>
    </row>
    <row r="45" spans="1:11" s="632" customFormat="1" x14ac:dyDescent="0.2">
      <c r="A45" s="944" t="s">
        <v>347</v>
      </c>
      <c r="B45" s="942">
        <f>C5</f>
        <v>15200</v>
      </c>
      <c r="C45" s="938">
        <f>B45/$B$45</f>
        <v>1</v>
      </c>
      <c r="D45" s="936"/>
      <c r="F45" s="1657"/>
      <c r="G45" s="1658" t="s">
        <v>725</v>
      </c>
      <c r="H45" s="945">
        <f ca="1">C9</f>
        <v>15200</v>
      </c>
      <c r="I45" s="951"/>
      <c r="J45" s="951"/>
      <c r="K45" s="1648"/>
    </row>
    <row r="46" spans="1:11" s="632" customFormat="1" x14ac:dyDescent="0.2">
      <c r="A46" s="944" t="s">
        <v>683</v>
      </c>
      <c r="B46" s="942">
        <f ca="1">C6</f>
        <v>0</v>
      </c>
      <c r="C46" s="938">
        <f ca="1">B46/$B$45</f>
        <v>0</v>
      </c>
      <c r="D46" s="936"/>
      <c r="F46" s="1647"/>
      <c r="G46" s="951" t="s">
        <v>348</v>
      </c>
      <c r="H46" s="1655">
        <f ca="1">B48</f>
        <v>10576.25</v>
      </c>
      <c r="I46" s="951"/>
      <c r="J46" s="951"/>
      <c r="K46" s="1648"/>
    </row>
    <row r="47" spans="1:11" s="632" customFormat="1" x14ac:dyDescent="0.2">
      <c r="A47" s="944" t="s">
        <v>684</v>
      </c>
      <c r="B47" s="942">
        <f>C7</f>
        <v>4623.75</v>
      </c>
      <c r="C47" s="938">
        <f>B47/$B$45</f>
        <v>0.30419407894736844</v>
      </c>
      <c r="D47" s="936"/>
      <c r="F47" s="1647"/>
      <c r="G47" s="951"/>
      <c r="H47" s="951"/>
      <c r="I47" s="951"/>
      <c r="J47" s="951"/>
      <c r="K47" s="1648"/>
    </row>
    <row r="48" spans="1:11" s="632" customFormat="1" x14ac:dyDescent="0.2">
      <c r="A48" s="944" t="s">
        <v>689</v>
      </c>
      <c r="B48" s="945">
        <f ca="1">C10</f>
        <v>10576.25</v>
      </c>
      <c r="C48" s="938">
        <f ca="1">B48/$B$45</f>
        <v>0.69580592105263162</v>
      </c>
      <c r="F48" s="1647"/>
      <c r="G48" s="951"/>
      <c r="H48" s="951"/>
      <c r="I48" s="951"/>
      <c r="J48" s="951"/>
      <c r="K48" s="1648"/>
    </row>
    <row r="49" spans="1:11" s="632" customFormat="1" x14ac:dyDescent="0.2">
      <c r="F49" s="3388"/>
      <c r="G49" s="3388"/>
      <c r="H49" s="945"/>
      <c r="I49" s="951"/>
      <c r="J49" s="951"/>
      <c r="K49" s="1648"/>
    </row>
    <row r="50" spans="1:11" s="632" customFormat="1" x14ac:dyDescent="0.2">
      <c r="F50" s="3388"/>
      <c r="G50" s="3388"/>
      <c r="H50" s="945"/>
      <c r="I50" s="951"/>
      <c r="J50" s="951"/>
      <c r="K50" s="1648"/>
    </row>
    <row r="51" spans="1:11" s="632" customFormat="1" x14ac:dyDescent="0.2">
      <c r="A51" s="954" t="str">
        <f>D4</f>
        <v/>
      </c>
      <c r="B51" s="945">
        <f>D5</f>
        <v>0</v>
      </c>
      <c r="F51" s="3388"/>
      <c r="G51" s="3388"/>
      <c r="H51" s="945"/>
      <c r="I51" s="951"/>
      <c r="J51" s="951"/>
      <c r="K51" s="1648"/>
    </row>
    <row r="52" spans="1:11" s="632" customFormat="1" x14ac:dyDescent="0.2">
      <c r="A52" s="944" t="s">
        <v>545</v>
      </c>
      <c r="B52" s="971">
        <f ca="1">D6</f>
        <v>0</v>
      </c>
      <c r="F52" s="1647"/>
      <c r="G52" s="951"/>
      <c r="H52" s="951"/>
      <c r="I52" s="951"/>
      <c r="J52" s="951"/>
      <c r="K52" s="1648"/>
    </row>
    <row r="53" spans="1:11" s="632" customFormat="1" x14ac:dyDescent="0.2">
      <c r="A53" s="944" t="s">
        <v>685</v>
      </c>
      <c r="B53" s="971">
        <f>D7</f>
        <v>0</v>
      </c>
      <c r="F53" s="1647"/>
      <c r="G53" s="951"/>
      <c r="H53" s="951"/>
      <c r="I53" s="951"/>
      <c r="J53" s="951"/>
      <c r="K53" s="1648"/>
    </row>
    <row r="54" spans="1:11" s="632" customFormat="1" x14ac:dyDescent="0.2">
      <c r="A54" s="944" t="s">
        <v>544</v>
      </c>
      <c r="B54" s="971">
        <f ca="1">D10</f>
        <v>0</v>
      </c>
      <c r="F54" s="1647"/>
      <c r="G54" s="951"/>
      <c r="H54" s="951"/>
      <c r="I54" s="951"/>
      <c r="J54" s="951"/>
      <c r="K54" s="1648"/>
    </row>
    <row r="55" spans="1:11" s="632" customFormat="1" x14ac:dyDescent="0.2">
      <c r="F55" s="1647"/>
      <c r="G55" s="951"/>
      <c r="H55" s="951"/>
      <c r="I55" s="951"/>
      <c r="J55" s="951"/>
      <c r="K55" s="1648"/>
    </row>
    <row r="56" spans="1:11" s="632" customFormat="1" x14ac:dyDescent="0.2">
      <c r="F56" s="1647"/>
      <c r="G56" s="951"/>
      <c r="H56" s="951"/>
      <c r="I56" s="951"/>
      <c r="J56" s="951"/>
      <c r="K56" s="1648"/>
    </row>
    <row r="57" spans="1:11" s="632" customFormat="1" x14ac:dyDescent="0.2">
      <c r="F57" s="1647"/>
      <c r="G57" s="951"/>
      <c r="H57" s="951"/>
      <c r="I57" s="951"/>
      <c r="J57" s="951"/>
      <c r="K57" s="1648"/>
    </row>
    <row r="58" spans="1:11" s="632" customFormat="1" x14ac:dyDescent="0.2">
      <c r="F58" s="1647"/>
      <c r="G58" s="951"/>
      <c r="H58" s="951"/>
      <c r="I58" s="951"/>
      <c r="J58" s="951"/>
      <c r="K58" s="1648"/>
    </row>
    <row r="59" spans="1:11" s="632" customFormat="1" x14ac:dyDescent="0.2">
      <c r="F59" s="1647"/>
      <c r="G59" s="951"/>
      <c r="H59" s="951"/>
      <c r="I59" s="951"/>
      <c r="J59" s="951"/>
      <c r="K59" s="1648"/>
    </row>
    <row r="60" spans="1:11" s="632" customFormat="1" x14ac:dyDescent="0.2">
      <c r="F60" s="1647"/>
      <c r="G60" s="951"/>
      <c r="H60" s="951"/>
      <c r="I60" s="951"/>
      <c r="J60" s="951"/>
      <c r="K60" s="1648"/>
    </row>
    <row r="61" spans="1:11" x14ac:dyDescent="0.2">
      <c r="F61" s="1649"/>
      <c r="G61" s="1650"/>
      <c r="H61" s="1650"/>
      <c r="I61" s="1650"/>
      <c r="J61" s="1650"/>
      <c r="K61" s="1651"/>
    </row>
    <row r="62" spans="1:11" x14ac:dyDescent="0.2">
      <c r="F62" s="1649"/>
      <c r="G62" s="1650"/>
      <c r="H62" s="1650"/>
      <c r="I62" s="1650"/>
      <c r="J62" s="1650"/>
      <c r="K62" s="1651"/>
    </row>
    <row r="63" spans="1:11" ht="13.5" thickBot="1" x14ac:dyDescent="0.25">
      <c r="F63" s="1652"/>
      <c r="G63" s="1653"/>
      <c r="H63" s="1653"/>
      <c r="I63" s="1653"/>
      <c r="J63" s="1653"/>
      <c r="K63" s="1654"/>
    </row>
  </sheetData>
  <sheetProtection password="85A7" sheet="1"/>
  <mergeCells count="5">
    <mergeCell ref="F50:G50"/>
    <mergeCell ref="F51:G51"/>
    <mergeCell ref="A2:K2"/>
    <mergeCell ref="F37:K37"/>
    <mergeCell ref="F49:G49"/>
  </mergeCells>
  <phoneticPr fontId="50" type="noConversion"/>
  <printOptions horizontalCentered="1" verticalCentered="1" gridLines="1"/>
  <pageMargins left="0.39370078740157483" right="0.39370078740157483" top="0.98425196850393704" bottom="0.39370078740157483" header="0.51181102362204722" footer="0.51181102362204722"/>
  <pageSetup paperSize="9" scale="60" orientation="landscape" r:id="rId1"/>
  <headerFooter alignWithMargins="0"/>
  <colBreaks count="1" manualBreakCount="1">
    <brk id="11" max="31"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6"/>
  <dimension ref="A1:Y58"/>
  <sheetViews>
    <sheetView zoomScale="60" workbookViewId="0">
      <selection activeCell="K27" sqref="K27"/>
    </sheetView>
  </sheetViews>
  <sheetFormatPr defaultRowHeight="12.75" x14ac:dyDescent="0.2"/>
  <cols>
    <col min="1" max="1" width="13.42578125" style="611" customWidth="1"/>
    <col min="2" max="2" width="33.28515625" style="611" customWidth="1"/>
    <col min="3" max="3" width="14" style="611" customWidth="1"/>
    <col min="4" max="4" width="11.28515625" style="611" customWidth="1"/>
    <col min="5" max="6" width="11.42578125" style="611" customWidth="1"/>
    <col min="7" max="7" width="12.7109375" style="611" customWidth="1"/>
    <col min="8" max="8" width="10.5703125" style="611" customWidth="1"/>
    <col min="9" max="9" width="15.42578125" style="611" customWidth="1"/>
    <col min="10" max="10" width="14.5703125" style="611" customWidth="1"/>
    <col min="11" max="11" width="11.7109375" style="611" customWidth="1"/>
    <col min="12" max="12" width="11.42578125" style="611" customWidth="1"/>
    <col min="13" max="13" width="9.28515625" style="611" customWidth="1"/>
    <col min="14" max="14" width="9" style="611" customWidth="1"/>
    <col min="15" max="15" width="8.7109375" style="611" customWidth="1"/>
    <col min="16" max="16" width="14.7109375" style="611" customWidth="1"/>
    <col min="17" max="17" width="14.140625" style="611" customWidth="1"/>
    <col min="18" max="18" width="21.7109375" style="611" customWidth="1"/>
    <col min="19" max="16384" width="9.140625" style="611"/>
  </cols>
  <sheetData>
    <row r="1" spans="1:25" s="24" customFormat="1" ht="13.5" thickBot="1" x14ac:dyDescent="0.25">
      <c r="P1" s="513"/>
      <c r="Q1" s="513"/>
    </row>
    <row r="2" spans="1:25" s="24" customFormat="1" ht="18.75" customHeight="1" thickBot="1" x14ac:dyDescent="0.3">
      <c r="C2" s="911"/>
      <c r="D2" s="2837" t="s">
        <v>528</v>
      </c>
      <c r="E2" s="2838"/>
      <c r="F2" s="2838"/>
      <c r="G2" s="2838"/>
      <c r="H2" s="2838"/>
      <c r="I2" s="2838"/>
      <c r="J2" s="2838"/>
      <c r="K2" s="2838"/>
      <c r="L2" s="2838"/>
      <c r="M2" s="2838"/>
      <c r="N2" s="2838"/>
      <c r="O2" s="2839"/>
      <c r="P2" s="2838" t="s">
        <v>530</v>
      </c>
      <c r="Q2" s="2839"/>
    </row>
    <row r="3" spans="1:25" s="24" customFormat="1" ht="25.9" customHeight="1" thickBot="1" x14ac:dyDescent="0.25">
      <c r="B3" s="547"/>
      <c r="C3" s="915"/>
      <c r="D3" s="919" t="s">
        <v>520</v>
      </c>
      <c r="E3" s="920" t="s">
        <v>358</v>
      </c>
      <c r="F3" s="920" t="s">
        <v>359</v>
      </c>
      <c r="G3" s="920" t="s">
        <v>360</v>
      </c>
      <c r="H3" s="920" t="s">
        <v>361</v>
      </c>
      <c r="I3" s="920" t="s">
        <v>362</v>
      </c>
      <c r="J3" s="920" t="s">
        <v>363</v>
      </c>
      <c r="K3" s="920" t="s">
        <v>364</v>
      </c>
      <c r="L3" s="920" t="s">
        <v>365</v>
      </c>
      <c r="M3" s="920" t="s">
        <v>366</v>
      </c>
      <c r="N3" s="920" t="s">
        <v>367</v>
      </c>
      <c r="O3" s="921" t="s">
        <v>368</v>
      </c>
      <c r="P3" s="918" t="s">
        <v>521</v>
      </c>
      <c r="Q3" s="910" t="s">
        <v>522</v>
      </c>
      <c r="R3" s="866"/>
    </row>
    <row r="4" spans="1:25" s="24" customFormat="1" ht="13.5" thickBot="1" x14ac:dyDescent="0.25">
      <c r="B4" s="916"/>
      <c r="C4" s="917" t="s">
        <v>527</v>
      </c>
      <c r="D4" s="914"/>
      <c r="E4" s="865"/>
      <c r="F4" s="865"/>
      <c r="G4" s="865"/>
      <c r="H4" s="865"/>
      <c r="I4" s="865"/>
      <c r="J4" s="865"/>
      <c r="K4" s="865"/>
      <c r="L4" s="865"/>
      <c r="M4" s="865"/>
      <c r="N4" s="865"/>
      <c r="O4" s="865"/>
      <c r="P4" s="549"/>
      <c r="Q4" s="895"/>
      <c r="R4" s="866"/>
    </row>
    <row r="5" spans="1:25" s="24" customFormat="1" ht="16.5" thickBot="1" x14ac:dyDescent="0.3">
      <c r="A5" s="3397" t="s">
        <v>523</v>
      </c>
      <c r="B5" s="896" t="str">
        <f>'B. resultados tecnicos leite'!A5</f>
        <v>pastagens anuais</v>
      </c>
      <c r="C5" s="897">
        <f>'B. resultados tecnicos leite'!B5</f>
        <v>0</v>
      </c>
      <c r="D5" s="926">
        <v>100</v>
      </c>
      <c r="E5" s="926">
        <v>100</v>
      </c>
      <c r="F5" s="926">
        <v>80</v>
      </c>
      <c r="G5" s="926">
        <v>20</v>
      </c>
      <c r="H5" s="926"/>
      <c r="I5" s="926"/>
      <c r="J5" s="926"/>
      <c r="K5" s="926"/>
      <c r="L5" s="926"/>
      <c r="M5" s="926"/>
      <c r="N5" s="926">
        <v>80</v>
      </c>
      <c r="O5" s="927">
        <v>100</v>
      </c>
      <c r="P5" s="909">
        <f>((D5*31)+(E5*28)+(F5*31)+(G5*30)+(H5*31)+(I5*30)+(J5*31)+(K5*31)+(L5*30)+(M5*31)+(N5*30)+(O5*31))</f>
        <v>14480</v>
      </c>
      <c r="Q5" s="908">
        <f>P5*C5</f>
        <v>0</v>
      </c>
    </row>
    <row r="6" spans="1:25" s="24" customFormat="1" ht="16.5" thickBot="1" x14ac:dyDescent="0.3">
      <c r="A6" s="3398"/>
      <c r="B6" s="898" t="str">
        <f>'B. resultados tecnicos leite'!A6</f>
        <v>pastagens perenes</v>
      </c>
      <c r="C6" s="899">
        <f>'B. resultados tecnicos leite'!B6</f>
        <v>0</v>
      </c>
      <c r="D6" s="928">
        <v>100</v>
      </c>
      <c r="E6" s="928">
        <v>80</v>
      </c>
      <c r="F6" s="928">
        <v>80</v>
      </c>
      <c r="G6" s="928">
        <v>20</v>
      </c>
      <c r="H6" s="928"/>
      <c r="I6" s="928"/>
      <c r="J6" s="928"/>
      <c r="K6" s="928"/>
      <c r="L6" s="928">
        <v>5</v>
      </c>
      <c r="M6" s="928">
        <v>25</v>
      </c>
      <c r="N6" s="928">
        <v>80</v>
      </c>
      <c r="O6" s="929">
        <v>100</v>
      </c>
      <c r="P6" s="909">
        <f>((D6*31)+(E6*28)+(F6*31)+(G6*30)+(H6*31)+(I6*30)+(J6*31)+(K6*31)+(L6*30)+(M6*31)+(N6*30)+(O6*31))</f>
        <v>14845</v>
      </c>
      <c r="Q6" s="908">
        <f>P6*C6</f>
        <v>0</v>
      </c>
    </row>
    <row r="7" spans="1:25" s="513" customFormat="1" ht="16.5" thickBot="1" x14ac:dyDescent="0.3">
      <c r="B7" s="892"/>
      <c r="C7" s="893"/>
      <c r="D7" s="930"/>
      <c r="E7" s="930"/>
      <c r="F7" s="930"/>
      <c r="G7" s="930"/>
      <c r="H7" s="930"/>
      <c r="I7" s="930"/>
      <c r="J7" s="930"/>
      <c r="K7" s="930"/>
      <c r="L7" s="930"/>
      <c r="M7" s="930"/>
      <c r="N7" s="930"/>
      <c r="O7" s="930"/>
      <c r="P7" s="907"/>
      <c r="Q7" s="908"/>
    </row>
    <row r="8" spans="1:25" s="24" customFormat="1" ht="36.6" customHeight="1" thickBot="1" x14ac:dyDescent="0.3">
      <c r="A8" s="3399" t="s">
        <v>524</v>
      </c>
      <c r="B8" s="912" t="s">
        <v>532</v>
      </c>
      <c r="C8" s="861">
        <f>'B. resultados tecnicos leite'!C5</f>
        <v>0</v>
      </c>
      <c r="D8" s="931"/>
      <c r="E8" s="931"/>
      <c r="F8" s="931"/>
      <c r="G8" s="931"/>
      <c r="H8" s="931">
        <v>20</v>
      </c>
      <c r="I8" s="931">
        <v>30</v>
      </c>
      <c r="J8" s="931">
        <v>50</v>
      </c>
      <c r="K8" s="931">
        <v>30</v>
      </c>
      <c r="L8" s="931">
        <v>50</v>
      </c>
      <c r="M8" s="931">
        <v>30</v>
      </c>
      <c r="N8" s="931"/>
      <c r="O8" s="931"/>
      <c r="P8" s="922">
        <f>((D8*31)+(E8*28)+(F8*31)+(G8*30)+(H8*31)+(I8*30)+(J8*31)+(K8*31)+(L8*30)+(M8*31)+(N8*30)+(O8*31))</f>
        <v>6430</v>
      </c>
      <c r="Q8" s="908">
        <f>P8*C8</f>
        <v>0</v>
      </c>
    </row>
    <row r="9" spans="1:25" ht="16.5" hidden="1" thickBot="1" x14ac:dyDescent="0.3">
      <c r="A9" s="3400"/>
      <c r="B9" s="900"/>
      <c r="C9" s="862"/>
      <c r="D9" s="901"/>
      <c r="E9" s="901"/>
      <c r="F9" s="901"/>
      <c r="G9" s="901"/>
      <c r="H9" s="901"/>
      <c r="I9" s="901"/>
      <c r="J9" s="901"/>
      <c r="K9" s="901"/>
      <c r="L9" s="901"/>
      <c r="M9" s="901"/>
      <c r="N9" s="901"/>
      <c r="O9" s="901"/>
      <c r="P9" s="902">
        <f>((D9*31)+(E9*28)+(F9*31)+(G9*30)+(H9*31)+(I9*30)+(J9*31)+(K9*31)+(L9*30)+(M9*31)+(N9*30)+(O9*31))</f>
        <v>0</v>
      </c>
      <c r="Q9" s="894" t="e">
        <f>(P9*C9)*(#REF!/100)</f>
        <v>#REF!</v>
      </c>
      <c r="U9" s="24"/>
      <c r="Y9" s="24"/>
    </row>
    <row r="10" spans="1:25" ht="15.75" hidden="1" x14ac:dyDescent="0.25">
      <c r="A10" s="867"/>
      <c r="B10" s="868"/>
      <c r="C10" s="869"/>
      <c r="D10" s="870"/>
      <c r="E10" s="870"/>
      <c r="F10" s="870"/>
      <c r="G10" s="870"/>
      <c r="H10" s="870"/>
      <c r="I10" s="870"/>
      <c r="J10" s="870"/>
      <c r="K10" s="870"/>
      <c r="L10" s="870"/>
      <c r="M10" s="870"/>
      <c r="N10" s="870"/>
      <c r="O10" s="870"/>
      <c r="P10" s="871"/>
      <c r="Q10" s="872" t="e">
        <f>(P10*C10)*(#REF!/100)</f>
        <v>#REF!</v>
      </c>
      <c r="R10" s="867"/>
      <c r="U10" s="24"/>
      <c r="Y10" s="24"/>
    </row>
    <row r="11" spans="1:25" ht="15.75" hidden="1" x14ac:dyDescent="0.25">
      <c r="A11" s="867"/>
      <c r="B11" s="873"/>
      <c r="C11" s="874"/>
      <c r="D11" s="875"/>
      <c r="E11" s="875"/>
      <c r="F11" s="875"/>
      <c r="G11" s="875"/>
      <c r="H11" s="875"/>
      <c r="I11" s="875"/>
      <c r="J11" s="875"/>
      <c r="K11" s="875"/>
      <c r="L11" s="875"/>
      <c r="M11" s="875"/>
      <c r="N11" s="875"/>
      <c r="O11" s="875"/>
      <c r="P11" s="876"/>
      <c r="Q11" s="872" t="e">
        <f>(P11*C11)*(#REF!/100)</f>
        <v>#REF!</v>
      </c>
      <c r="R11" s="867"/>
      <c r="U11" s="24"/>
      <c r="Y11" s="24"/>
    </row>
    <row r="12" spans="1:25" ht="15.75" hidden="1" x14ac:dyDescent="0.25">
      <c r="A12" s="867"/>
      <c r="B12" s="873"/>
      <c r="C12" s="874"/>
      <c r="D12" s="875"/>
      <c r="E12" s="875"/>
      <c r="F12" s="875"/>
      <c r="G12" s="875"/>
      <c r="H12" s="875"/>
      <c r="I12" s="875"/>
      <c r="J12" s="875"/>
      <c r="K12" s="875"/>
      <c r="L12" s="875"/>
      <c r="M12" s="875"/>
      <c r="N12" s="875"/>
      <c r="O12" s="875"/>
      <c r="P12" s="876"/>
      <c r="Q12" s="872" t="e">
        <f>(P12*C12)*(#REF!/100)</f>
        <v>#REF!</v>
      </c>
      <c r="R12" s="867"/>
      <c r="U12" s="24"/>
      <c r="Y12" s="24"/>
    </row>
    <row r="13" spans="1:25" ht="21.75" hidden="1" customHeight="1" x14ac:dyDescent="0.25">
      <c r="A13" s="867"/>
      <c r="B13" s="873"/>
      <c r="C13" s="874"/>
      <c r="D13" s="875"/>
      <c r="E13" s="875"/>
      <c r="F13" s="875"/>
      <c r="G13" s="875"/>
      <c r="H13" s="875"/>
      <c r="I13" s="875"/>
      <c r="J13" s="875"/>
      <c r="K13" s="875"/>
      <c r="L13" s="875"/>
      <c r="M13" s="875"/>
      <c r="N13" s="875"/>
      <c r="O13" s="875"/>
      <c r="P13" s="877"/>
      <c r="Q13" s="872" t="e">
        <f>(P13*C13)*(#REF!/100)</f>
        <v>#REF!</v>
      </c>
      <c r="R13" s="867"/>
      <c r="U13" s="24"/>
      <c r="Y13" s="24"/>
    </row>
    <row r="14" spans="1:25" ht="21.75" hidden="1" customHeight="1" x14ac:dyDescent="0.25">
      <c r="A14" s="867"/>
      <c r="B14" s="878"/>
      <c r="C14" s="879"/>
      <c r="D14" s="880"/>
      <c r="E14" s="880"/>
      <c r="F14" s="880"/>
      <c r="G14" s="880"/>
      <c r="H14" s="880"/>
      <c r="I14" s="880"/>
      <c r="J14" s="880"/>
      <c r="K14" s="880"/>
      <c r="L14" s="880"/>
      <c r="M14" s="880"/>
      <c r="N14" s="880"/>
      <c r="O14" s="880"/>
      <c r="P14" s="877"/>
      <c r="Q14" s="872" t="e">
        <f>(P14*C14)*(#REF!/100)</f>
        <v>#REF!</v>
      </c>
      <c r="R14" s="867"/>
      <c r="U14" s="24"/>
      <c r="Y14" s="24"/>
    </row>
    <row r="15" spans="1:25" s="24" customFormat="1" ht="13.5" hidden="1" thickBot="1" x14ac:dyDescent="0.25">
      <c r="B15" s="881" t="s">
        <v>525</v>
      </c>
      <c r="C15" s="882"/>
      <c r="D15" s="883" t="e">
        <f>((D5*$C$5*31)*(#REF!/100))+((D6*$C$6*31)*(#REF!/100))+((#REF!*#REF!*31)*(#REF!/100))+((#REF!*#REF!*31)*(#REF!/100))+((#REF!*#REF!*31)*(#REF!/100))+((D8*$C$8*31)*(#REF!/100))+((#REF!*#REF!*31)*(#REF!/100))+((D9*$C$9*31)*(#REF!/100))+((D10*$C$10*31)*(#REF!/100))+((D11*$C$11*31)*(#REF!/100))+((D12*$C$12*31)*(#REF!/100))+((D13*$C$13*31)*(#REF!/100))+((D14*$C$14*31)*(#REF!/100))</f>
        <v>#REF!</v>
      </c>
      <c r="E15" s="883" t="e">
        <f>((E5*$C$5*28)*(#REF!/100))+((E6*$C$6*28)*(#REF!/100))+((#REF!*#REF!*28)*(#REF!/100))+((#REF!*#REF!*28)*(#REF!/100))+((#REF!*#REF!*28)*(#REF!/100))+((E8*$C$8*28)*(#REF!/100))+((#REF!*#REF!*28)*(#REF!/100))+((E9*$C$9*28)*(#REF!/100))+((E10*$C$10*28)*(#REF!/100))+((E11*$C$11*28)*(#REF!/100))+((E12*$C$12*28)*(#REF!/100))+((E13*$C$13*28)*(#REF!/100))+((E14*$C$14*28)*(#REF!/100))</f>
        <v>#REF!</v>
      </c>
      <c r="F15" s="883" t="e">
        <f>((F5*$C$5*31)*(#REF!/100))+((F6*$C$6*31)*(#REF!/100))+((#REF!*#REF!*31)*(#REF!/100))+((#REF!*#REF!*31)*(#REF!/100))+((#REF!*#REF!*31)*(#REF!/100))+((F8*$C$8*31)*(#REF!/100))+((#REF!*#REF!*31)*(#REF!/100))+((F9*$C$9*31)*(#REF!/100))+((F10*$C$10*31)*(#REF!/100))+((F11*$C$11*31)*(#REF!/100))+((F12*$C$12*31)*(#REF!/100))+((F13*$C$13*31)*(#REF!/100))+((F14*$C$14*31)*(#REF!/100))</f>
        <v>#REF!</v>
      </c>
      <c r="G15" s="883" t="e">
        <f>((G5*$C$5*30)*(#REF!/100))+((G6*$C$6*30)*(#REF!/100))+((#REF!*#REF!*30)*(#REF!/100))+((#REF!*#REF!*30)*(#REF!/100))+((#REF!*#REF!*30)*(#REF!/100))+((G8*$C$8*30)*(#REF!/100))+((#REF!*#REF!*30)*(#REF!/100))+((G9*$C$9*30)*(#REF!/100))+((G10*$C$10*30)*(#REF!/100))+((G11*$C$11*30)*(#REF!/100))+((G12*$C$12*30)*(#REF!/100))+((G13*$C$13*30)*(#REF!/100))+((G14*$C$14*30)*(#REF!/100))</f>
        <v>#REF!</v>
      </c>
      <c r="H15" s="883" t="e">
        <f>((H5*$C$5*31)*(#REF!/100))+((H6*$C$6*31)*(#REF!/100))+((#REF!*#REF!*31)*(#REF!/100))+((#REF!*#REF!*31)*(#REF!/100))+((#REF!*#REF!*31)*(#REF!/100))+((H8*$C$8*31)*(#REF!/100))+((#REF!*#REF!*31)*(#REF!/100))+((H9*$C$9*31)*(#REF!/100))+((H10*$C$10*31)*(#REF!/100))+((H11*$C$11*31)*(#REF!/100))+((H12*$C$12*31)*(#REF!/100))+((H13*$C$13*31)*(#REF!/100))+((H14*$C$14*31)*(#REF!/100))</f>
        <v>#REF!</v>
      </c>
      <c r="I15" s="883" t="e">
        <f>((I5*$C$5*30)*(#REF!/100))+((I6*$C$6*30)*(#REF!/100))+((#REF!*#REF!*30)*(#REF!/100))+((#REF!*#REF!*30)*(#REF!/100))+((#REF!*#REF!*30)*(#REF!/100))+((I8*$C$8*30)*(#REF!/100))+((#REF!*#REF!*30)*(#REF!/100))+((I9*$C$9*30)*(#REF!/100))+((I10*$C$10*30)*(#REF!/100))+((I11*$C$11*30)*(#REF!/100))+((I12*$C$12*30)*(#REF!/100))+((I13*$C$13*30)*(#REF!/100))+((I14*$C$14*30)*(#REF!/100))</f>
        <v>#REF!</v>
      </c>
      <c r="J15" s="883" t="e">
        <f>((J5*$C$5*31)*(#REF!/100))+((J6*$C$6*31)*(#REF!/100))+((#REF!*#REF!*31)*(#REF!/100))+((#REF!*#REF!*31)*(#REF!/100))+((#REF!*#REF!*31)*(#REF!/100))+((J8*$C$8*31)*(#REF!/100))+((#REF!*#REF!*31)*(#REF!/100))+((J9*$C$9*31)*(#REF!/100))+((J10*$C$10*31)*(#REF!/100))+((J11*$C$11*31)*(#REF!/100))+((J12*$C$12*31)*(#REF!/100))+((J13*$C$13*31)*(#REF!/100))+((J14*$C$14*31)*(#REF!/100))</f>
        <v>#REF!</v>
      </c>
      <c r="K15" s="883" t="e">
        <f>((K5*$C$5*31)*(#REF!/100))+((K6*$C$6*31)*(#REF!/100))+((#REF!*#REF!*31)*(#REF!/100))+((#REF!*#REF!*31)*(#REF!/100))+((#REF!*#REF!*31)*(#REF!/100))+((K8*$C$8*31)*(#REF!/100))+((#REF!*#REF!*31)*(#REF!/100))+((K9*$C$9*31)*(#REF!/100))+((K10*$C$10*31)*(#REF!/100))+((K11*$C$11*31)*(#REF!/100))+((K12*$C$12*31)*(#REF!/100))+((K13*$C$13*31)*(#REF!/100))+((K14*$C$14*31)*(#REF!/100))</f>
        <v>#REF!</v>
      </c>
      <c r="L15" s="883" t="e">
        <f>((L5*$C$5*30)*(#REF!/100))+((L6*$C$6*30)*(#REF!/100))+((#REF!*#REF!*30)*(#REF!/100))+((#REF!*#REF!*30)*(#REF!/100))+((#REF!*#REF!*31)*(#REF!/100))+((L8*$C$8*30)*(#REF!/100))+((#REF!*#REF!*30)*(#REF!/100))+((L9*$C$9*30)*(#REF!/100))+((L10*$C$10*30)*(#REF!/100))+((L11*$C$11*30)*(#REF!/100))+((L12*$C$12*30)*(#REF!/100))+((L13*$C$13*30)*(#REF!/100))+((L14*$C$14*30)*(#REF!/100))</f>
        <v>#REF!</v>
      </c>
      <c r="M15" s="883" t="e">
        <f>((M5*$C$5*31)*(#REF!/100))+((M6*$C$6*31)*(#REF!/100))+((#REF!*#REF!*31)*(#REF!/100))+((#REF!*#REF!*31)*(#REF!/100))+((#REF!*#REF!*31)*(#REF!/100))+((M8*$C$8*31)*(#REF!/100))+((#REF!*#REF!*31)*(#REF!/100))+((M9*$C$9*31)*(#REF!/100))+((M10*$C$10*31)*(#REF!/100))+((M11*$C$11*31)*(#REF!/100))+((M12*$C$12*31)*(#REF!/100))+((M13*$C$13*31)*(#REF!/100))+((M14*$C$14*31)*(#REF!/100))</f>
        <v>#REF!</v>
      </c>
      <c r="N15" s="883" t="e">
        <f>((N5*$C$5*30)*(#REF!/100))+((N6*$C$6*30)*(#REF!/100))+((#REF!*#REF!*30)*(#REF!/100))+((#REF!*#REF!*30)*(#REF!/100))+((#REF!*#REF!*30)*(#REF!/100))+((N8*$C$8*30)*(#REF!/100))+((#REF!*#REF!*30)*(#REF!/100))+((N9*$C$9*30)*(#REF!/100))+((N10*$C$10*30)*(#REF!/100))+((N11*$C$11*30)*(#REF!/100))+((N12*$C$12*30)*(#REF!/100))+((N13*$C$13*30)*(#REF!/100))+((N14*$C$14*30)*(#REF!/100))</f>
        <v>#REF!</v>
      </c>
      <c r="O15" s="883" t="e">
        <f>((O5*$C$5*31)*(#REF!/100))+((O6*$C$6*31)*(#REF!/100))+((#REF!*#REF!*31)*(#REF!/100))+((#REF!*#REF!*31)*(#REF!/100))+((#REF!*#REF!*31)*(#REF!/100))+((O8*$C$8*31)*(#REF!/100))+((#REF!*#REF!*31)*(#REF!/100))+((O9*$C$9*31)*(#REF!/100))+((O10*$C$10*31)*(#REF!/100))+((O11*$C$11*31)*(#REF!/100))+((O12*$C$12*31)*(#REF!/100))+((O13*$C$13*31)*(#REF!/100))+((O14*$C$14*31)*(#REF!/100))</f>
        <v>#REF!</v>
      </c>
      <c r="P15" s="884" t="e">
        <f>SUM(D15:O15)</f>
        <v>#REF!</v>
      </c>
      <c r="Q15" s="885" t="e">
        <f>SUM(Q5:Q14)</f>
        <v>#REF!</v>
      </c>
      <c r="R15" s="886" t="e">
        <f>P15-Q15</f>
        <v>#REF!</v>
      </c>
    </row>
    <row r="16" spans="1:25" s="24" customFormat="1" hidden="1" x14ac:dyDescent="0.2">
      <c r="B16" s="903" t="s">
        <v>526</v>
      </c>
      <c r="C16" s="904"/>
      <c r="D16" s="905" t="e">
        <f>#REF!*#REF!*31</f>
        <v>#REF!</v>
      </c>
      <c r="E16" s="905" t="e">
        <f>#REF!*#REF!*28</f>
        <v>#REF!</v>
      </c>
      <c r="F16" s="905" t="e">
        <f>#REF!*#REF!*31</f>
        <v>#REF!</v>
      </c>
      <c r="G16" s="905" t="e">
        <f>#REF!*#REF!*30</f>
        <v>#REF!</v>
      </c>
      <c r="H16" s="905" t="e">
        <f>#REF!*#REF!*31</f>
        <v>#REF!</v>
      </c>
      <c r="I16" s="905" t="e">
        <f>#REF!*#REF!*30</f>
        <v>#REF!</v>
      </c>
      <c r="J16" s="905" t="e">
        <f>#REF!*#REF!*31</f>
        <v>#REF!</v>
      </c>
      <c r="K16" s="905" t="e">
        <f>#REF!*#REF!*31</f>
        <v>#REF!</v>
      </c>
      <c r="L16" s="905" t="e">
        <f>#REF!*#REF!*30</f>
        <v>#REF!</v>
      </c>
      <c r="M16" s="905" t="e">
        <f>#REF!*#REF!*31</f>
        <v>#REF!</v>
      </c>
      <c r="N16" s="905" t="e">
        <f>#REF!*#REF!*30</f>
        <v>#REF!</v>
      </c>
      <c r="O16" s="905" t="e">
        <f>#REF!*#REF!*31</f>
        <v>#REF!</v>
      </c>
      <c r="P16" s="906"/>
      <c r="Q16" s="887" t="e">
        <f>SUM(D16:P16)</f>
        <v>#REF!</v>
      </c>
    </row>
    <row r="17" spans="1:17" s="24" customFormat="1" ht="42" customHeight="1" thickBot="1" x14ac:dyDescent="0.3">
      <c r="A17" s="3401" t="s">
        <v>529</v>
      </c>
      <c r="B17" s="3402"/>
      <c r="C17" s="3402"/>
      <c r="D17" s="3402"/>
      <c r="E17" s="3402"/>
      <c r="F17" s="3402"/>
      <c r="G17" s="3402"/>
      <c r="H17" s="3402"/>
      <c r="I17" s="3402"/>
      <c r="J17" s="3402"/>
      <c r="K17" s="3402"/>
      <c r="L17" s="3402"/>
      <c r="M17" s="3402"/>
      <c r="N17" s="3402"/>
      <c r="O17" s="3402"/>
      <c r="P17" s="3402"/>
      <c r="Q17" s="923">
        <f>Q5+Q6+Q8</f>
        <v>0</v>
      </c>
    </row>
    <row r="18" spans="1:17" s="24" customFormat="1" ht="39" customHeight="1" thickBot="1" x14ac:dyDescent="0.3">
      <c r="A18" s="3401" t="s">
        <v>531</v>
      </c>
      <c r="B18" s="3402"/>
      <c r="C18" s="3402"/>
      <c r="D18" s="3402"/>
      <c r="E18" s="3402"/>
      <c r="F18" s="3402"/>
      <c r="G18" s="3402"/>
      <c r="H18" s="3402"/>
      <c r="I18" s="3402"/>
      <c r="J18" s="3402"/>
      <c r="K18" s="3402"/>
      <c r="L18" s="3402"/>
      <c r="M18" s="3402"/>
      <c r="N18" s="3402"/>
      <c r="O18" s="3402"/>
      <c r="P18" s="3403"/>
      <c r="Q18" s="924">
        <f>Q17*0.7</f>
        <v>0</v>
      </c>
    </row>
    <row r="19" spans="1:17" s="24" customFormat="1" x14ac:dyDescent="0.2">
      <c r="C19" s="28"/>
      <c r="D19" s="28"/>
      <c r="E19" s="28"/>
      <c r="F19" s="28"/>
      <c r="G19" s="28"/>
      <c r="H19" s="28"/>
      <c r="I19" s="28"/>
      <c r="J19" s="28"/>
      <c r="K19" s="28"/>
      <c r="L19" s="28"/>
      <c r="M19" s="28"/>
      <c r="N19" s="28"/>
      <c r="O19" s="28"/>
      <c r="P19" s="889"/>
    </row>
    <row r="20" spans="1:17" s="24" customFormat="1" x14ac:dyDescent="0.2">
      <c r="C20" s="28"/>
      <c r="D20" s="28"/>
      <c r="E20" s="28"/>
      <c r="F20" s="28"/>
      <c r="G20" s="28"/>
      <c r="H20" s="28"/>
      <c r="I20" s="28"/>
      <c r="J20" s="28"/>
      <c r="K20" s="28"/>
      <c r="L20" s="28"/>
      <c r="M20" s="28"/>
      <c r="N20" s="28"/>
      <c r="O20" s="28"/>
      <c r="P20" s="889"/>
    </row>
    <row r="21" spans="1:17" s="24" customFormat="1" x14ac:dyDescent="0.2">
      <c r="C21" s="28"/>
      <c r="D21" s="28"/>
      <c r="E21" s="28"/>
      <c r="F21" s="28"/>
      <c r="G21" s="28"/>
      <c r="H21" s="28"/>
      <c r="I21" s="28"/>
      <c r="J21" s="28"/>
      <c r="K21" s="28"/>
      <c r="L21" s="28"/>
      <c r="M21" s="28"/>
      <c r="N21" s="28"/>
      <c r="O21" s="28"/>
      <c r="P21" s="889"/>
    </row>
    <row r="22" spans="1:17" s="24" customFormat="1" x14ac:dyDescent="0.2">
      <c r="C22" s="28"/>
      <c r="D22" s="28"/>
      <c r="E22" s="28"/>
      <c r="F22" s="28"/>
      <c r="G22" s="28"/>
      <c r="H22" s="28"/>
      <c r="I22" s="28"/>
      <c r="J22" s="28"/>
      <c r="K22" s="28"/>
      <c r="L22" s="28"/>
      <c r="M22" s="28"/>
      <c r="N22" s="28"/>
      <c r="O22" s="28"/>
      <c r="P22" s="925"/>
    </row>
    <row r="23" spans="1:17" s="24" customFormat="1" x14ac:dyDescent="0.2">
      <c r="C23" s="28"/>
      <c r="D23" s="28"/>
      <c r="E23" s="28"/>
      <c r="F23" s="28"/>
      <c r="G23" s="28"/>
      <c r="H23" s="28"/>
      <c r="I23" s="28"/>
      <c r="J23" s="28"/>
      <c r="K23" s="28"/>
      <c r="L23" s="28"/>
      <c r="M23" s="28"/>
      <c r="N23" s="28"/>
      <c r="O23" s="28"/>
      <c r="P23" s="889"/>
    </row>
    <row r="24" spans="1:17" s="24" customFormat="1" x14ac:dyDescent="0.2">
      <c r="C24" s="28"/>
      <c r="D24" s="28"/>
      <c r="E24" s="28"/>
      <c r="F24" s="28"/>
      <c r="G24" s="28"/>
      <c r="H24" s="28"/>
      <c r="I24" s="28"/>
      <c r="J24" s="28"/>
      <c r="K24" s="28"/>
      <c r="L24" s="28"/>
      <c r="M24" s="28"/>
      <c r="N24" s="28"/>
      <c r="O24" s="28"/>
      <c r="P24" s="889"/>
    </row>
    <row r="25" spans="1:17" x14ac:dyDescent="0.2">
      <c r="C25" s="864"/>
      <c r="D25" s="864"/>
      <c r="E25" s="864"/>
      <c r="F25" s="864"/>
      <c r="G25" s="864"/>
      <c r="H25" s="864"/>
      <c r="I25" s="864"/>
      <c r="J25" s="864"/>
      <c r="K25" s="864"/>
      <c r="L25" s="864"/>
      <c r="M25" s="864"/>
      <c r="N25" s="864"/>
      <c r="O25" s="864"/>
      <c r="P25" s="888"/>
    </row>
    <row r="26" spans="1:17" x14ac:dyDescent="0.2">
      <c r="C26" s="864"/>
      <c r="D26" s="864"/>
      <c r="E26" s="864"/>
      <c r="F26" s="864"/>
      <c r="G26" s="864"/>
      <c r="H26" s="864"/>
      <c r="I26" s="864"/>
      <c r="J26" s="864"/>
      <c r="K26" s="864"/>
      <c r="L26" s="864"/>
      <c r="M26" s="864"/>
      <c r="N26" s="864"/>
      <c r="O26" s="864"/>
    </row>
    <row r="27" spans="1:17" x14ac:dyDescent="0.2">
      <c r="C27" s="864"/>
      <c r="D27" s="864"/>
      <c r="E27" s="864"/>
      <c r="F27" s="864"/>
      <c r="G27" s="864"/>
      <c r="H27" s="864"/>
      <c r="I27" s="864"/>
      <c r="J27" s="864"/>
      <c r="K27" s="864"/>
      <c r="L27" s="864"/>
      <c r="M27" s="864"/>
      <c r="N27" s="864"/>
      <c r="O27" s="864"/>
    </row>
    <row r="28" spans="1:17" x14ac:dyDescent="0.2">
      <c r="C28" s="864"/>
      <c r="D28" s="864"/>
      <c r="E28" s="864"/>
      <c r="F28" s="864"/>
      <c r="G28" s="864"/>
      <c r="H28" s="864"/>
      <c r="I28" s="864"/>
      <c r="J28" s="864"/>
      <c r="K28" s="864"/>
      <c r="L28" s="864"/>
      <c r="M28" s="864"/>
      <c r="N28" s="864"/>
      <c r="O28" s="864"/>
    </row>
    <row r="29" spans="1:17" x14ac:dyDescent="0.2">
      <c r="C29" s="864"/>
      <c r="D29" s="864"/>
      <c r="E29" s="864"/>
      <c r="F29" s="864"/>
      <c r="G29" s="3395"/>
      <c r="H29" s="3395"/>
      <c r="I29" s="3395"/>
      <c r="J29" s="3395"/>
      <c r="K29" s="3395"/>
      <c r="L29" s="3395"/>
      <c r="M29" s="864"/>
      <c r="N29" s="864"/>
      <c r="O29" s="864"/>
    </row>
    <row r="30" spans="1:17" x14ac:dyDescent="0.2">
      <c r="C30" s="864"/>
      <c r="D30" s="864"/>
      <c r="E30" s="864"/>
      <c r="F30" s="864"/>
      <c r="G30" s="864"/>
      <c r="H30" s="864"/>
      <c r="I30" s="890"/>
      <c r="J30" s="890"/>
      <c r="K30" s="890"/>
      <c r="L30" s="890"/>
      <c r="M30" s="864"/>
      <c r="N30" s="864"/>
      <c r="O30" s="864"/>
    </row>
    <row r="31" spans="1:17" x14ac:dyDescent="0.2">
      <c r="C31" s="864"/>
      <c r="D31" s="864"/>
      <c r="E31" s="864"/>
      <c r="F31" s="864"/>
      <c r="G31" s="864"/>
      <c r="H31" s="864"/>
      <c r="I31" s="864"/>
      <c r="J31" s="864"/>
      <c r="K31" s="864"/>
      <c r="L31" s="864"/>
      <c r="M31" s="864"/>
      <c r="N31" s="864"/>
      <c r="O31" s="864"/>
    </row>
    <row r="32" spans="1:17" x14ac:dyDescent="0.2">
      <c r="C32" s="864"/>
      <c r="D32" s="864"/>
      <c r="E32" s="864"/>
      <c r="F32" s="864"/>
      <c r="G32" s="864"/>
      <c r="H32" s="864"/>
      <c r="I32" s="864"/>
      <c r="J32" s="864"/>
      <c r="K32" s="864"/>
      <c r="L32" s="864"/>
      <c r="M32" s="864"/>
      <c r="N32" s="864"/>
      <c r="O32" s="864"/>
    </row>
    <row r="33" spans="3:15" x14ac:dyDescent="0.2">
      <c r="C33" s="864"/>
      <c r="D33" s="864"/>
      <c r="E33" s="864"/>
      <c r="F33" s="864"/>
      <c r="G33" s="864"/>
      <c r="H33" s="864"/>
      <c r="I33" s="864"/>
      <c r="J33" s="864"/>
      <c r="K33" s="864"/>
      <c r="L33" s="864"/>
      <c r="M33" s="864"/>
      <c r="N33" s="864"/>
      <c r="O33" s="864"/>
    </row>
    <row r="34" spans="3:15" x14ac:dyDescent="0.2">
      <c r="C34" s="864"/>
      <c r="D34" s="864"/>
      <c r="E34" s="864"/>
      <c r="F34" s="864"/>
      <c r="G34" s="3396"/>
      <c r="H34" s="3396"/>
      <c r="I34" s="3396"/>
      <c r="J34" s="3396"/>
      <c r="K34" s="3396"/>
      <c r="L34" s="3396"/>
      <c r="M34" s="864"/>
      <c r="N34" s="864"/>
      <c r="O34" s="864"/>
    </row>
    <row r="35" spans="3:15" x14ac:dyDescent="0.2">
      <c r="C35" s="864"/>
      <c r="D35" s="864"/>
      <c r="E35" s="864"/>
      <c r="F35" s="864"/>
      <c r="G35" s="864"/>
      <c r="H35" s="864"/>
      <c r="I35" s="864"/>
      <c r="J35" s="864"/>
      <c r="K35" s="864"/>
      <c r="L35" s="864"/>
      <c r="M35" s="864"/>
      <c r="N35" s="864"/>
      <c r="O35" s="864"/>
    </row>
    <row r="36" spans="3:15" x14ac:dyDescent="0.2">
      <c r="C36" s="864"/>
      <c r="D36" s="864"/>
      <c r="E36" s="864"/>
      <c r="F36" s="864"/>
      <c r="G36" s="864"/>
      <c r="H36" s="864"/>
      <c r="I36" s="864"/>
      <c r="J36" s="864"/>
      <c r="K36" s="864"/>
      <c r="L36" s="864"/>
      <c r="M36" s="864"/>
      <c r="N36" s="864"/>
      <c r="O36" s="864"/>
    </row>
    <row r="37" spans="3:15" x14ac:dyDescent="0.2">
      <c r="C37" s="864"/>
      <c r="D37" s="864"/>
      <c r="E37" s="864"/>
      <c r="F37" s="864"/>
      <c r="G37" s="864"/>
      <c r="H37" s="864"/>
      <c r="I37" s="864"/>
      <c r="J37" s="864"/>
      <c r="K37" s="864"/>
      <c r="L37" s="864"/>
      <c r="M37" s="864"/>
      <c r="N37" s="864"/>
      <c r="O37" s="864"/>
    </row>
    <row r="38" spans="3:15" x14ac:dyDescent="0.2">
      <c r="C38" s="864"/>
      <c r="D38" s="864"/>
      <c r="E38" s="864"/>
      <c r="F38" s="864"/>
      <c r="G38" s="864"/>
      <c r="H38" s="864"/>
      <c r="I38" s="864"/>
      <c r="J38" s="864"/>
      <c r="K38" s="864"/>
      <c r="L38" s="864"/>
      <c r="M38" s="864"/>
      <c r="N38" s="864"/>
      <c r="O38" s="864"/>
    </row>
    <row r="39" spans="3:15" x14ac:dyDescent="0.2">
      <c r="C39" s="864"/>
      <c r="D39" s="864"/>
      <c r="E39" s="864"/>
      <c r="F39" s="864"/>
      <c r="G39" s="864"/>
      <c r="H39" s="864"/>
      <c r="I39" s="864"/>
      <c r="J39" s="864"/>
      <c r="K39" s="864"/>
      <c r="L39" s="864"/>
      <c r="M39" s="864"/>
      <c r="N39" s="864"/>
      <c r="O39" s="864"/>
    </row>
    <row r="53" spans="4:5" x14ac:dyDescent="0.2">
      <c r="E53" s="891"/>
    </row>
    <row r="54" spans="4:5" x14ac:dyDescent="0.2">
      <c r="D54" s="891"/>
      <c r="E54" s="891"/>
    </row>
    <row r="55" spans="4:5" x14ac:dyDescent="0.2">
      <c r="D55" s="891"/>
      <c r="E55" s="891"/>
    </row>
    <row r="56" spans="4:5" x14ac:dyDescent="0.2">
      <c r="E56" s="891"/>
    </row>
    <row r="57" spans="4:5" x14ac:dyDescent="0.2">
      <c r="D57" s="891"/>
      <c r="E57" s="891"/>
    </row>
    <row r="58" spans="4:5" x14ac:dyDescent="0.2">
      <c r="D58" s="891"/>
      <c r="E58" s="891"/>
    </row>
  </sheetData>
  <sheetProtection password="DBAF" sheet="1" objects="1" scenarios="1"/>
  <mergeCells count="8">
    <mergeCell ref="G29:L29"/>
    <mergeCell ref="G34:L34"/>
    <mergeCell ref="A5:A6"/>
    <mergeCell ref="A8:A9"/>
    <mergeCell ref="D2:O2"/>
    <mergeCell ref="A17:P17"/>
    <mergeCell ref="P2:Q2"/>
    <mergeCell ref="A18:P18"/>
  </mergeCells>
  <phoneticPr fontId="93" type="noConversion"/>
  <pageMargins left="0.78740157499999996" right="0.78740157499999996" top="0.984251969" bottom="0.984251969" header="0.49212598499999999" footer="0.49212598499999999"/>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37"/>
  <dimension ref="A1:Q66"/>
  <sheetViews>
    <sheetView topLeftCell="A22" workbookViewId="0">
      <selection activeCell="D44" sqref="D44"/>
    </sheetView>
  </sheetViews>
  <sheetFormatPr defaultRowHeight="12.75" x14ac:dyDescent="0.2"/>
  <cols>
    <col min="1" max="2" width="9.140625" style="207" customWidth="1"/>
    <col min="3" max="3" width="21.85546875" style="207" customWidth="1"/>
    <col min="4" max="4" width="10.28515625" style="207" bestFit="1" customWidth="1"/>
    <col min="5" max="5" width="20.85546875" style="207" customWidth="1"/>
    <col min="6" max="6" width="14.28515625" style="207" customWidth="1"/>
    <col min="7" max="7" width="12" style="207" customWidth="1"/>
    <col min="8" max="16384" width="9.140625" style="207"/>
  </cols>
  <sheetData>
    <row r="1" spans="1:13" x14ac:dyDescent="0.2">
      <c r="A1" s="211"/>
      <c r="B1" s="211"/>
      <c r="C1" s="211"/>
      <c r="D1" s="211"/>
      <c r="E1" s="211"/>
      <c r="F1" s="211"/>
      <c r="G1" s="211"/>
      <c r="H1" s="211"/>
      <c r="I1" s="211"/>
      <c r="J1" s="211"/>
      <c r="K1" s="211"/>
    </row>
    <row r="2" spans="1:13" x14ac:dyDescent="0.2">
      <c r="A2" s="211"/>
      <c r="B2" s="211"/>
      <c r="C2" s="211"/>
      <c r="D2" s="211"/>
      <c r="E2" s="211"/>
      <c r="F2" s="211"/>
      <c r="G2" s="211"/>
      <c r="H2" s="211"/>
      <c r="I2" s="211"/>
      <c r="J2" s="211"/>
      <c r="K2" s="211"/>
      <c r="M2" s="224" t="s">
        <v>102</v>
      </c>
    </row>
    <row r="3" spans="1:13" x14ac:dyDescent="0.2">
      <c r="A3" s="211"/>
      <c r="B3" s="211"/>
      <c r="C3" s="211"/>
      <c r="D3" s="211"/>
      <c r="E3" s="211"/>
      <c r="F3" s="211"/>
      <c r="G3" s="211"/>
      <c r="H3" s="211"/>
      <c r="I3" s="211"/>
      <c r="J3" s="211"/>
      <c r="K3" s="211"/>
      <c r="M3" s="224" t="s">
        <v>102</v>
      </c>
    </row>
    <row r="4" spans="1:13" x14ac:dyDescent="0.2">
      <c r="A4" s="211"/>
      <c r="B4" s="211"/>
      <c r="C4" s="211"/>
      <c r="D4" s="211"/>
      <c r="E4" s="211"/>
      <c r="F4" s="211"/>
      <c r="G4" s="211"/>
      <c r="H4" s="211"/>
      <c r="I4" s="211"/>
      <c r="J4" s="211"/>
      <c r="K4" s="211"/>
      <c r="M4" s="224" t="s">
        <v>102</v>
      </c>
    </row>
    <row r="5" spans="1:13" x14ac:dyDescent="0.2">
      <c r="A5" s="211"/>
      <c r="B5" s="211"/>
      <c r="C5" s="211"/>
      <c r="D5" s="211"/>
      <c r="E5" s="211"/>
      <c r="F5" s="211"/>
      <c r="G5" s="211"/>
      <c r="H5" s="211"/>
      <c r="I5" s="211"/>
      <c r="J5" s="211"/>
      <c r="K5" s="211"/>
      <c r="M5" s="224" t="s">
        <v>102</v>
      </c>
    </row>
    <row r="6" spans="1:13" x14ac:dyDescent="0.2">
      <c r="A6" s="211"/>
      <c r="B6" s="211"/>
      <c r="C6" s="211"/>
      <c r="D6" s="211"/>
      <c r="E6" s="211"/>
      <c r="F6" s="211"/>
      <c r="G6" s="211"/>
      <c r="H6" s="211"/>
      <c r="I6" s="211"/>
      <c r="J6" s="211"/>
      <c r="K6" s="211"/>
      <c r="M6" s="224" t="s">
        <v>102</v>
      </c>
    </row>
    <row r="7" spans="1:13" x14ac:dyDescent="0.2">
      <c r="A7" s="211"/>
      <c r="B7" s="211"/>
      <c r="C7" s="211"/>
      <c r="D7" s="211"/>
      <c r="E7" s="211"/>
      <c r="F7" s="211"/>
      <c r="G7" s="211"/>
      <c r="H7" s="211"/>
      <c r="I7" s="211"/>
      <c r="J7" s="211"/>
      <c r="K7" s="211"/>
      <c r="M7" s="224" t="s">
        <v>102</v>
      </c>
    </row>
    <row r="8" spans="1:13" x14ac:dyDescent="0.2">
      <c r="A8" s="211"/>
      <c r="B8" s="211"/>
      <c r="C8" s="211"/>
      <c r="D8" s="211"/>
      <c r="E8" s="211"/>
      <c r="F8" s="211"/>
      <c r="G8" s="211"/>
      <c r="H8" s="211"/>
      <c r="I8" s="211"/>
      <c r="J8" s="211"/>
      <c r="K8" s="211"/>
      <c r="M8" s="224" t="s">
        <v>102</v>
      </c>
    </row>
    <row r="9" spans="1:13" x14ac:dyDescent="0.2">
      <c r="A9" s="211"/>
      <c r="B9" s="211"/>
      <c r="C9" s="211"/>
      <c r="D9" s="211"/>
      <c r="E9" s="211"/>
      <c r="F9" s="211"/>
      <c r="G9" s="211"/>
      <c r="H9" s="211"/>
      <c r="I9" s="211"/>
      <c r="J9" s="211"/>
      <c r="K9" s="211"/>
      <c r="M9" s="224" t="s">
        <v>102</v>
      </c>
    </row>
    <row r="10" spans="1:13" x14ac:dyDescent="0.2">
      <c r="A10" s="211"/>
      <c r="B10" s="211"/>
      <c r="C10" s="211"/>
      <c r="D10" s="211"/>
      <c r="E10" s="211"/>
      <c r="F10" s="211"/>
      <c r="G10" s="211"/>
      <c r="H10" s="211"/>
      <c r="I10" s="211"/>
      <c r="J10" s="211"/>
      <c r="K10" s="211"/>
      <c r="M10" s="224" t="s">
        <v>102</v>
      </c>
    </row>
    <row r="11" spans="1:13" x14ac:dyDescent="0.2">
      <c r="A11" s="211"/>
      <c r="B11" s="211"/>
      <c r="C11" s="211"/>
      <c r="D11" s="211"/>
      <c r="E11" s="211"/>
      <c r="F11" s="211"/>
      <c r="G11" s="211"/>
      <c r="H11" s="211"/>
      <c r="I11" s="211"/>
      <c r="J11" s="211"/>
      <c r="K11" s="211"/>
      <c r="M11" s="224" t="s">
        <v>102</v>
      </c>
    </row>
    <row r="12" spans="1:13" x14ac:dyDescent="0.2">
      <c r="A12" s="211"/>
      <c r="B12" s="211"/>
      <c r="C12" s="211"/>
      <c r="D12" s="211"/>
      <c r="E12" s="211"/>
      <c r="F12" s="211"/>
      <c r="G12" s="211"/>
      <c r="H12" s="211"/>
      <c r="I12" s="211"/>
      <c r="J12" s="211"/>
      <c r="K12" s="211"/>
      <c r="M12" s="224" t="s">
        <v>102</v>
      </c>
    </row>
    <row r="13" spans="1:13" x14ac:dyDescent="0.2">
      <c r="A13" s="211"/>
      <c r="B13" s="211"/>
      <c r="C13" s="211"/>
      <c r="D13" s="211"/>
      <c r="E13" s="211"/>
      <c r="F13" s="211"/>
      <c r="G13" s="211"/>
      <c r="H13" s="211"/>
      <c r="I13" s="211"/>
      <c r="J13" s="211"/>
      <c r="K13" s="211"/>
      <c r="M13" s="224" t="s">
        <v>102</v>
      </c>
    </row>
    <row r="14" spans="1:13" x14ac:dyDescent="0.2">
      <c r="A14" s="211"/>
      <c r="B14" s="211"/>
      <c r="C14" s="211"/>
      <c r="D14" s="211"/>
      <c r="E14" s="211"/>
      <c r="F14" s="211"/>
      <c r="G14" s="211"/>
      <c r="H14" s="211"/>
      <c r="I14" s="211"/>
      <c r="J14" s="211"/>
      <c r="K14" s="211"/>
      <c r="M14" s="224" t="s">
        <v>102</v>
      </c>
    </row>
    <row r="15" spans="1:13" x14ac:dyDescent="0.2">
      <c r="A15" s="211"/>
      <c r="B15" s="211"/>
      <c r="C15" s="211"/>
      <c r="D15" s="211"/>
      <c r="E15" s="211"/>
      <c r="F15" s="211"/>
      <c r="G15" s="211"/>
      <c r="H15" s="211"/>
      <c r="I15" s="211"/>
      <c r="J15" s="211"/>
      <c r="K15" s="211"/>
      <c r="M15" s="224" t="s">
        <v>102</v>
      </c>
    </row>
    <row r="16" spans="1:13" x14ac:dyDescent="0.2">
      <c r="A16" s="211"/>
      <c r="B16" s="211"/>
      <c r="C16" s="211"/>
      <c r="D16" s="211"/>
      <c r="E16" s="211"/>
      <c r="F16" s="211"/>
      <c r="G16" s="211"/>
      <c r="H16" s="211"/>
      <c r="I16" s="211"/>
      <c r="J16" s="211"/>
      <c r="K16" s="211"/>
      <c r="M16" s="224" t="s">
        <v>102</v>
      </c>
    </row>
    <row r="17" spans="1:17" x14ac:dyDescent="0.2">
      <c r="A17" s="211"/>
      <c r="B17" s="211"/>
      <c r="C17" s="211"/>
      <c r="D17" s="211"/>
      <c r="E17" s="211"/>
      <c r="F17" s="211"/>
      <c r="G17" s="211"/>
      <c r="H17" s="211"/>
      <c r="I17" s="211"/>
      <c r="J17" s="211"/>
      <c r="K17" s="211"/>
      <c r="M17" s="224" t="s">
        <v>102</v>
      </c>
    </row>
    <row r="18" spans="1:17" x14ac:dyDescent="0.2">
      <c r="A18" s="211"/>
      <c r="B18" s="211"/>
      <c r="C18" s="211"/>
      <c r="D18" s="211"/>
      <c r="E18" s="211"/>
      <c r="F18" s="211"/>
      <c r="G18" s="211"/>
      <c r="H18" s="211"/>
      <c r="I18" s="211"/>
      <c r="J18" s="211"/>
      <c r="K18" s="211"/>
      <c r="M18" s="224" t="s">
        <v>102</v>
      </c>
    </row>
    <row r="19" spans="1:17" x14ac:dyDescent="0.2">
      <c r="A19" s="211"/>
      <c r="B19" s="211"/>
      <c r="C19" s="211"/>
      <c r="D19" s="211"/>
      <c r="E19" s="211"/>
      <c r="F19" s="211"/>
      <c r="G19" s="211"/>
      <c r="H19" s="211"/>
      <c r="I19" s="211"/>
      <c r="J19" s="211"/>
      <c r="K19" s="211"/>
      <c r="M19" s="224" t="s">
        <v>102</v>
      </c>
    </row>
    <row r="20" spans="1:17" x14ac:dyDescent="0.2">
      <c r="A20" s="211"/>
      <c r="B20" s="211"/>
      <c r="C20" s="211"/>
      <c r="D20" s="211"/>
      <c r="E20" s="211"/>
      <c r="F20" s="211"/>
      <c r="G20" s="211"/>
      <c r="H20" s="211"/>
      <c r="I20" s="211"/>
      <c r="J20" s="211"/>
      <c r="K20" s="211"/>
      <c r="M20" s="224" t="s">
        <v>102</v>
      </c>
    </row>
    <row r="21" spans="1:17" x14ac:dyDescent="0.2">
      <c r="A21" s="211"/>
      <c r="B21" s="211"/>
      <c r="C21" s="211"/>
      <c r="D21" s="211"/>
      <c r="E21" s="211"/>
      <c r="F21" s="211"/>
      <c r="G21" s="211"/>
      <c r="H21" s="211"/>
      <c r="I21" s="211"/>
      <c r="J21" s="211"/>
      <c r="K21" s="211"/>
      <c r="M21" s="224" t="s">
        <v>102</v>
      </c>
    </row>
    <row r="22" spans="1:17" x14ac:dyDescent="0.2">
      <c r="A22" s="211"/>
      <c r="B22" s="211"/>
      <c r="C22" s="211"/>
      <c r="D22" s="211"/>
      <c r="E22" s="211"/>
      <c r="F22" s="211"/>
      <c r="G22" s="211"/>
      <c r="H22" s="211"/>
      <c r="I22" s="211"/>
      <c r="J22" s="211"/>
      <c r="K22" s="211"/>
      <c r="M22" s="224" t="s">
        <v>102</v>
      </c>
    </row>
    <row r="23" spans="1:17" x14ac:dyDescent="0.2">
      <c r="A23" s="211"/>
      <c r="B23" s="211"/>
      <c r="C23" s="211"/>
      <c r="D23" s="211"/>
      <c r="E23" s="211"/>
      <c r="F23" s="211"/>
      <c r="G23" s="211"/>
      <c r="H23" s="211"/>
      <c r="I23" s="211"/>
      <c r="J23" s="211"/>
      <c r="K23" s="211"/>
      <c r="M23" s="224" t="s">
        <v>102</v>
      </c>
    </row>
    <row r="24" spans="1:17" x14ac:dyDescent="0.2">
      <c r="A24" s="211"/>
      <c r="B24" s="211"/>
      <c r="C24" s="211"/>
      <c r="D24" s="211"/>
      <c r="E24" s="211"/>
      <c r="F24" s="211"/>
      <c r="G24" s="211"/>
      <c r="H24" s="211"/>
      <c r="I24" s="211"/>
      <c r="J24" s="211"/>
      <c r="K24" s="211"/>
      <c r="M24" s="224" t="s">
        <v>102</v>
      </c>
    </row>
    <row r="25" spans="1:17" x14ac:dyDescent="0.2">
      <c r="A25" s="206"/>
      <c r="B25" s="206"/>
      <c r="C25" s="206"/>
      <c r="D25" s="206"/>
      <c r="E25" s="206"/>
      <c r="F25" s="206"/>
      <c r="G25" s="206"/>
      <c r="H25" s="206"/>
      <c r="I25" s="206"/>
      <c r="J25" s="206"/>
      <c r="K25" s="206"/>
      <c r="M25" s="224" t="s">
        <v>102</v>
      </c>
    </row>
    <row r="26" spans="1:17" x14ac:dyDescent="0.2">
      <c r="A26" s="206"/>
      <c r="B26" s="206"/>
      <c r="C26" s="206"/>
      <c r="D26" s="206"/>
      <c r="E26" s="206"/>
      <c r="F26" s="206"/>
      <c r="G26" s="206"/>
      <c r="H26" s="206"/>
      <c r="I26" s="206"/>
      <c r="J26" s="206"/>
      <c r="K26" s="206"/>
      <c r="M26" s="224" t="s">
        <v>102</v>
      </c>
    </row>
    <row r="27" spans="1:17" x14ac:dyDescent="0.2">
      <c r="A27" s="206"/>
      <c r="B27" s="206"/>
      <c r="C27" s="206"/>
      <c r="D27" s="206"/>
      <c r="E27" s="206"/>
      <c r="F27" s="206"/>
      <c r="G27" s="206"/>
      <c r="H27" s="206"/>
      <c r="I27" s="206"/>
      <c r="J27" s="206"/>
      <c r="K27" s="206"/>
      <c r="L27" s="206"/>
      <c r="M27" s="224" t="s">
        <v>102</v>
      </c>
      <c r="N27" s="206"/>
      <c r="O27" s="206"/>
      <c r="P27" s="206"/>
      <c r="Q27" s="206"/>
    </row>
    <row r="28" spans="1:17" x14ac:dyDescent="0.2">
      <c r="A28" s="206"/>
      <c r="B28" s="203" t="s">
        <v>226</v>
      </c>
      <c r="C28" s="203"/>
      <c r="D28" s="203"/>
      <c r="E28" s="203"/>
      <c r="F28" s="203"/>
      <c r="G28" s="206"/>
      <c r="H28" s="206"/>
      <c r="I28" s="206"/>
      <c r="J28" s="206"/>
      <c r="K28" s="206"/>
      <c r="L28" s="206"/>
      <c r="M28" s="224" t="s">
        <v>102</v>
      </c>
      <c r="N28" s="206"/>
      <c r="O28" s="206"/>
      <c r="P28" s="206"/>
      <c r="Q28" s="206"/>
    </row>
    <row r="29" spans="1:17" x14ac:dyDescent="0.2">
      <c r="A29" s="206"/>
      <c r="B29" s="203"/>
      <c r="C29" s="203" t="s">
        <v>228</v>
      </c>
      <c r="D29" s="203" t="s">
        <v>229</v>
      </c>
      <c r="E29" s="203" t="s">
        <v>235</v>
      </c>
      <c r="F29" s="203"/>
      <c r="G29" s="206"/>
      <c r="H29" s="206"/>
      <c r="I29" s="206"/>
      <c r="J29" s="206"/>
      <c r="K29" s="206"/>
      <c r="L29" s="206"/>
      <c r="M29" s="224" t="s">
        <v>102</v>
      </c>
      <c r="N29" s="206"/>
      <c r="O29" s="206"/>
      <c r="P29" s="206"/>
      <c r="Q29" s="206"/>
    </row>
    <row r="30" spans="1:17" ht="18.75" thickBot="1" x14ac:dyDescent="0.3">
      <c r="A30" s="206"/>
      <c r="B30" s="213" t="s">
        <v>223</v>
      </c>
      <c r="C30" s="214" t="e">
        <f>'F. resultad econ. glob. detalh'!B7</f>
        <v>#VALUE!</v>
      </c>
      <c r="D30" s="214">
        <f>'F. resultad econ. glob. detalh'!B9</f>
        <v>0</v>
      </c>
      <c r="E30" s="212">
        <v>14654.78</v>
      </c>
      <c r="F30" s="215" t="e">
        <f>(C30-D30-E30)/SOLO!I43</f>
        <v>#VALUE!</v>
      </c>
      <c r="G30" s="205" t="s">
        <v>227</v>
      </c>
      <c r="H30" s="206"/>
      <c r="I30" s="206"/>
      <c r="J30" s="206"/>
      <c r="K30" s="206"/>
      <c r="L30" s="206"/>
      <c r="M30" s="224" t="s">
        <v>102</v>
      </c>
      <c r="N30" s="206"/>
      <c r="O30" s="206"/>
      <c r="P30" s="206"/>
      <c r="Q30" s="206"/>
    </row>
    <row r="31" spans="1:17" ht="18.75" thickBot="1" x14ac:dyDescent="0.3">
      <c r="A31" s="206" t="s">
        <v>222</v>
      </c>
      <c r="B31" s="216" t="s">
        <v>224</v>
      </c>
      <c r="C31" s="109"/>
      <c r="D31" s="217"/>
      <c r="E31" s="218" t="s">
        <v>237</v>
      </c>
      <c r="F31" s="219">
        <f>SOLO!I43</f>
        <v>0</v>
      </c>
      <c r="G31" s="206" t="s">
        <v>230</v>
      </c>
      <c r="H31" s="206"/>
      <c r="I31" s="206"/>
      <c r="J31" s="206"/>
      <c r="K31" s="206"/>
      <c r="L31" s="206"/>
      <c r="M31" s="224" t="s">
        <v>102</v>
      </c>
      <c r="N31" s="206"/>
      <c r="O31" s="206"/>
      <c r="P31" s="206"/>
      <c r="Q31" s="206"/>
    </row>
    <row r="32" spans="1:17" ht="18" x14ac:dyDescent="0.25">
      <c r="A32" s="206"/>
      <c r="B32" s="220" t="s">
        <v>225</v>
      </c>
      <c r="C32" s="221"/>
      <c r="D32" s="221"/>
      <c r="E32" s="222">
        <v>100</v>
      </c>
      <c r="F32" s="202">
        <f>'F. resultad econ. glob. detalh'!B16-E32</f>
        <v>5705</v>
      </c>
      <c r="G32" s="206" t="s">
        <v>236</v>
      </c>
      <c r="H32" s="206"/>
      <c r="I32" s="206"/>
      <c r="J32" s="206"/>
      <c r="K32" s="206"/>
      <c r="L32" s="206"/>
      <c r="M32" s="224" t="s">
        <v>102</v>
      </c>
      <c r="N32" s="206"/>
      <c r="O32" s="206"/>
      <c r="P32" s="206"/>
      <c r="Q32" s="206"/>
    </row>
    <row r="33" spans="1:17" x14ac:dyDescent="0.2">
      <c r="A33" s="206"/>
      <c r="B33" s="206"/>
      <c r="C33" s="206"/>
      <c r="D33" s="206" t="s">
        <v>238</v>
      </c>
      <c r="E33" s="209">
        <f>E30+E32</f>
        <v>14754.78</v>
      </c>
      <c r="F33" s="206"/>
      <c r="G33" s="206"/>
      <c r="H33" s="206"/>
      <c r="I33" s="206"/>
      <c r="J33" s="206"/>
      <c r="K33" s="206"/>
      <c r="L33" s="206"/>
      <c r="M33" s="224" t="s">
        <v>102</v>
      </c>
      <c r="N33" s="206"/>
      <c r="O33" s="206"/>
      <c r="P33" s="206"/>
      <c r="Q33" s="206"/>
    </row>
    <row r="34" spans="1:17" x14ac:dyDescent="0.2">
      <c r="A34" s="206"/>
      <c r="B34" s="206" t="s">
        <v>239</v>
      </c>
      <c r="C34" s="223" t="e">
        <f>F30*F31-F32</f>
        <v>#VALUE!</v>
      </c>
      <c r="D34" s="206"/>
      <c r="E34" s="206"/>
      <c r="F34" s="206"/>
      <c r="G34" s="206"/>
      <c r="H34" s="206"/>
      <c r="I34" s="206"/>
      <c r="J34" s="206"/>
      <c r="K34" s="206"/>
      <c r="L34" s="206"/>
      <c r="M34" s="224" t="s">
        <v>102</v>
      </c>
      <c r="N34" s="206"/>
      <c r="O34" s="206"/>
      <c r="P34" s="206"/>
      <c r="Q34" s="206"/>
    </row>
    <row r="35" spans="1:17" x14ac:dyDescent="0.2">
      <c r="A35" s="206"/>
      <c r="B35" s="206"/>
      <c r="C35" s="206"/>
      <c r="D35" s="206"/>
      <c r="E35" s="206"/>
      <c r="F35" s="206"/>
      <c r="G35" s="206"/>
      <c r="H35" s="206"/>
      <c r="I35" s="206"/>
      <c r="J35" s="206"/>
      <c r="K35" s="206"/>
      <c r="L35" s="206"/>
      <c r="M35" s="224" t="s">
        <v>102</v>
      </c>
      <c r="N35" s="206"/>
      <c r="O35" s="206"/>
      <c r="P35" s="206"/>
      <c r="Q35" s="206"/>
    </row>
    <row r="36" spans="1:17" x14ac:dyDescent="0.2">
      <c r="A36" s="206"/>
      <c r="B36" t="s">
        <v>231</v>
      </c>
      <c r="C36" s="206"/>
      <c r="D36" s="206"/>
      <c r="E36" s="206"/>
      <c r="F36" s="206"/>
      <c r="G36" s="206"/>
      <c r="H36" s="206"/>
      <c r="I36" s="206"/>
      <c r="J36" s="206"/>
      <c r="K36" s="206"/>
      <c r="L36" s="206"/>
      <c r="M36" s="224" t="s">
        <v>102</v>
      </c>
      <c r="N36" s="206"/>
      <c r="O36" s="206"/>
      <c r="P36" s="206"/>
      <c r="Q36" s="206"/>
    </row>
    <row r="37" spans="1:17" x14ac:dyDescent="0.2">
      <c r="A37" s="206"/>
      <c r="B37" s="206"/>
      <c r="C37" s="206"/>
      <c r="D37" s="206"/>
      <c r="E37" s="206"/>
      <c r="F37" s="206"/>
      <c r="G37" s="206"/>
      <c r="H37" s="206"/>
      <c r="I37" s="206"/>
      <c r="J37" s="206"/>
      <c r="K37" s="206"/>
      <c r="L37" s="206"/>
      <c r="M37" s="224" t="s">
        <v>102</v>
      </c>
      <c r="N37" s="206"/>
      <c r="O37" s="206"/>
      <c r="P37" s="206"/>
      <c r="Q37" s="206"/>
    </row>
    <row r="38" spans="1:17" x14ac:dyDescent="0.2">
      <c r="A38" s="206"/>
      <c r="B38" s="206"/>
      <c r="C38" s="206" t="s">
        <v>234</v>
      </c>
      <c r="D38" s="206" t="s">
        <v>233</v>
      </c>
      <c r="E38" s="206"/>
      <c r="F38" s="206"/>
      <c r="G38" s="206"/>
      <c r="H38" s="206"/>
      <c r="I38" s="206"/>
      <c r="J38" s="206"/>
      <c r="K38" s="206"/>
      <c r="L38" s="206"/>
      <c r="M38" s="224" t="s">
        <v>102</v>
      </c>
      <c r="N38" s="206"/>
      <c r="O38" s="206"/>
      <c r="P38" s="206"/>
      <c r="Q38" s="206"/>
    </row>
    <row r="39" spans="1:17" x14ac:dyDescent="0.2">
      <c r="A39" s="206">
        <v>0</v>
      </c>
      <c r="B39" s="206" t="e">
        <f>A39/M.oBRA!E$28</f>
        <v>#DIV/0!</v>
      </c>
      <c r="C39" s="208" t="e">
        <f>F$30*B39-F$32</f>
        <v>#VALUE!</v>
      </c>
      <c r="D39" s="208">
        <f>511*13</f>
        <v>6643</v>
      </c>
      <c r="E39" s="206"/>
      <c r="F39" s="206"/>
      <c r="G39" s="206"/>
      <c r="H39" s="206"/>
      <c r="I39" s="206"/>
      <c r="J39" s="206"/>
      <c r="K39" s="206"/>
      <c r="L39" s="206"/>
      <c r="M39" s="224" t="s">
        <v>102</v>
      </c>
      <c r="N39" s="206"/>
      <c r="O39" s="206"/>
      <c r="P39" s="206"/>
      <c r="Q39" s="206"/>
    </row>
    <row r="40" spans="1:17" x14ac:dyDescent="0.2">
      <c r="A40" s="210">
        <f>F31</f>
        <v>0</v>
      </c>
      <c r="B40" s="206" t="e">
        <f>A40/M.oBRA!E$28</f>
        <v>#DIV/0!</v>
      </c>
      <c r="C40" s="208" t="e">
        <f>F$30*B40-F$32</f>
        <v>#VALUE!</v>
      </c>
      <c r="D40" s="208">
        <f>511*13</f>
        <v>6643</v>
      </c>
      <c r="E40" s="206"/>
      <c r="F40" s="206"/>
      <c r="G40" s="206"/>
      <c r="H40" s="206"/>
      <c r="I40" s="206"/>
      <c r="J40" s="206"/>
      <c r="K40" s="206"/>
      <c r="L40" s="206"/>
      <c r="M40" s="224" t="s">
        <v>102</v>
      </c>
      <c r="N40" s="206"/>
      <c r="O40" s="206"/>
      <c r="P40" s="206"/>
      <c r="Q40" s="206"/>
    </row>
    <row r="41" spans="1:17" x14ac:dyDescent="0.2">
      <c r="A41" s="206"/>
      <c r="B41" s="206"/>
      <c r="C41" s="209"/>
      <c r="D41" s="206"/>
      <c r="E41" s="206"/>
      <c r="F41" s="206"/>
      <c r="G41" s="206"/>
      <c r="H41" s="206"/>
      <c r="I41" s="206"/>
      <c r="J41" s="206"/>
      <c r="K41" s="206"/>
      <c r="L41" s="206"/>
      <c r="M41" s="224" t="s">
        <v>102</v>
      </c>
      <c r="N41" s="206"/>
      <c r="O41" s="206"/>
      <c r="P41" s="206"/>
      <c r="Q41" s="206"/>
    </row>
    <row r="42" spans="1:17" x14ac:dyDescent="0.2">
      <c r="A42" s="206"/>
      <c r="B42" s="206"/>
      <c r="C42" s="209"/>
      <c r="D42" s="206"/>
      <c r="E42" s="206"/>
      <c r="F42" s="206"/>
      <c r="G42" s="206"/>
      <c r="H42" s="206"/>
      <c r="I42" s="206"/>
      <c r="J42" s="206"/>
      <c r="K42" s="206"/>
      <c r="L42" s="206"/>
      <c r="M42" s="224" t="s">
        <v>102</v>
      </c>
      <c r="N42" s="206"/>
      <c r="O42" s="206"/>
      <c r="P42" s="206"/>
      <c r="Q42" s="206"/>
    </row>
    <row r="43" spans="1:17" x14ac:dyDescent="0.2">
      <c r="A43" s="206"/>
      <c r="B43" s="206"/>
      <c r="C43" s="209"/>
      <c r="D43" s="206"/>
      <c r="E43" s="206"/>
      <c r="F43" s="206"/>
      <c r="G43" s="206"/>
      <c r="H43" s="206"/>
      <c r="I43" s="206"/>
      <c r="J43" s="206"/>
      <c r="K43" s="206"/>
      <c r="L43" s="206"/>
      <c r="M43" s="224" t="s">
        <v>102</v>
      </c>
      <c r="N43" s="206"/>
      <c r="O43" s="206"/>
      <c r="P43" s="206"/>
      <c r="Q43" s="206"/>
    </row>
    <row r="44" spans="1:17" x14ac:dyDescent="0.2">
      <c r="A44" s="206"/>
      <c r="B44" s="206"/>
      <c r="C44" s="209"/>
      <c r="D44" s="206"/>
      <c r="E44" s="206"/>
      <c r="F44" s="206"/>
      <c r="G44" s="206"/>
      <c r="H44" s="206"/>
      <c r="I44" s="206"/>
      <c r="J44" s="206"/>
      <c r="K44" s="206"/>
      <c r="L44" s="206"/>
      <c r="M44" s="224" t="s">
        <v>102</v>
      </c>
      <c r="N44" s="206"/>
      <c r="O44" s="206"/>
      <c r="P44" s="206"/>
      <c r="Q44" s="206"/>
    </row>
    <row r="45" spans="1:17" x14ac:dyDescent="0.2">
      <c r="A45" s="206"/>
      <c r="B45" s="206"/>
      <c r="C45" s="206"/>
      <c r="D45" s="206"/>
      <c r="E45" s="206"/>
      <c r="F45" s="206"/>
      <c r="G45" s="206"/>
      <c r="H45" s="206"/>
      <c r="I45" s="206"/>
      <c r="J45" s="206"/>
      <c r="K45" s="206"/>
      <c r="L45" s="206"/>
      <c r="M45" s="224" t="s">
        <v>102</v>
      </c>
      <c r="N45" s="206"/>
      <c r="O45" s="206"/>
      <c r="P45" s="206"/>
      <c r="Q45" s="206"/>
    </row>
    <row r="46" spans="1:17" x14ac:dyDescent="0.2">
      <c r="A46" s="206"/>
      <c r="B46" s="206"/>
      <c r="C46" s="206"/>
      <c r="D46" s="206"/>
      <c r="E46" s="206"/>
      <c r="F46" s="206"/>
      <c r="G46" s="206"/>
      <c r="H46" s="206"/>
      <c r="I46" s="206"/>
      <c r="J46" s="206"/>
      <c r="K46" s="206"/>
      <c r="L46" s="206"/>
      <c r="M46" s="224" t="s">
        <v>102</v>
      </c>
      <c r="N46" s="206"/>
      <c r="O46" s="206"/>
      <c r="P46" s="206"/>
      <c r="Q46" s="206"/>
    </row>
    <row r="47" spans="1:17" x14ac:dyDescent="0.2">
      <c r="A47" s="206"/>
      <c r="B47" s="206"/>
      <c r="C47" s="206"/>
      <c r="D47" s="206"/>
      <c r="E47" s="206"/>
      <c r="F47" s="206"/>
      <c r="G47" s="206"/>
      <c r="H47" s="206"/>
      <c r="I47" s="206"/>
      <c r="J47" s="206"/>
      <c r="K47" s="206"/>
      <c r="L47" s="206"/>
      <c r="M47" s="224" t="s">
        <v>102</v>
      </c>
      <c r="N47" s="206"/>
      <c r="O47" s="206"/>
      <c r="P47" s="206"/>
      <c r="Q47" s="206"/>
    </row>
    <row r="48" spans="1:17" x14ac:dyDescent="0.2">
      <c r="A48" s="206"/>
      <c r="B48" s="206"/>
      <c r="C48" s="206"/>
      <c r="D48" s="206"/>
      <c r="E48" s="206"/>
      <c r="F48" s="206"/>
      <c r="G48" s="206"/>
      <c r="H48" s="206"/>
      <c r="I48" s="206"/>
      <c r="J48" s="206"/>
      <c r="K48" s="206"/>
      <c r="L48" s="206"/>
      <c r="M48" s="224" t="s">
        <v>102</v>
      </c>
      <c r="N48" s="206"/>
      <c r="O48" s="206"/>
      <c r="P48" s="206"/>
      <c r="Q48" s="206"/>
    </row>
    <row r="49" spans="1:17" x14ac:dyDescent="0.2">
      <c r="A49" s="206"/>
      <c r="B49" s="206"/>
      <c r="C49" s="206"/>
      <c r="D49" s="206"/>
      <c r="E49" s="206"/>
      <c r="F49" s="206"/>
      <c r="G49" s="206"/>
      <c r="H49" s="206"/>
      <c r="I49" s="206"/>
      <c r="J49" s="206"/>
      <c r="K49" s="206"/>
      <c r="L49" s="206"/>
      <c r="M49" s="224" t="s">
        <v>102</v>
      </c>
      <c r="N49" s="206"/>
      <c r="O49" s="206"/>
      <c r="P49" s="206"/>
      <c r="Q49" s="206"/>
    </row>
    <row r="50" spans="1:17" x14ac:dyDescent="0.2">
      <c r="A50" s="206"/>
      <c r="B50" s="206"/>
      <c r="C50" s="206"/>
      <c r="D50" s="206"/>
      <c r="E50" s="206"/>
      <c r="F50" s="206"/>
      <c r="G50" s="206"/>
      <c r="H50" s="206"/>
      <c r="I50" s="206"/>
      <c r="J50" s="206"/>
      <c r="K50" s="206"/>
      <c r="L50" s="206"/>
      <c r="M50" s="224" t="s">
        <v>102</v>
      </c>
      <c r="N50" s="206"/>
      <c r="O50" s="206"/>
      <c r="P50" s="206"/>
      <c r="Q50" s="206"/>
    </row>
    <row r="51" spans="1:17" x14ac:dyDescent="0.2">
      <c r="A51" s="206"/>
      <c r="B51" s="206"/>
      <c r="C51" s="206"/>
      <c r="D51" s="206"/>
      <c r="E51" s="206"/>
      <c r="F51" s="206"/>
      <c r="G51" s="206"/>
      <c r="H51" s="206"/>
      <c r="I51" s="206"/>
      <c r="J51" s="206"/>
      <c r="K51" s="206"/>
      <c r="L51" s="206"/>
      <c r="M51" s="224" t="s">
        <v>102</v>
      </c>
      <c r="N51" s="206"/>
      <c r="O51" s="206"/>
      <c r="P51" s="206"/>
      <c r="Q51" s="206"/>
    </row>
    <row r="52" spans="1:17" x14ac:dyDescent="0.2">
      <c r="A52" s="206"/>
      <c r="B52" s="206"/>
      <c r="C52" s="206"/>
      <c r="D52" s="206"/>
      <c r="E52" s="206"/>
      <c r="F52" s="206"/>
      <c r="G52" s="206"/>
      <c r="H52" s="206"/>
      <c r="I52" s="206"/>
      <c r="J52" s="206"/>
      <c r="K52" s="206"/>
      <c r="L52" s="206"/>
      <c r="M52" s="224" t="s">
        <v>102</v>
      </c>
      <c r="N52" s="206"/>
      <c r="O52" s="206"/>
      <c r="P52" s="206"/>
      <c r="Q52" s="206"/>
    </row>
    <row r="53" spans="1:17" x14ac:dyDescent="0.2">
      <c r="A53" s="206"/>
      <c r="B53" s="206"/>
      <c r="C53" s="206"/>
      <c r="D53" s="206"/>
      <c r="E53" s="206"/>
      <c r="F53" s="206"/>
      <c r="G53" s="206"/>
      <c r="H53" s="206"/>
      <c r="I53" s="206"/>
      <c r="J53" s="206"/>
      <c r="K53" s="206"/>
      <c r="L53" s="206"/>
      <c r="M53" s="224" t="s">
        <v>102</v>
      </c>
      <c r="N53" s="206"/>
      <c r="O53" s="206"/>
      <c r="P53" s="206"/>
      <c r="Q53" s="206"/>
    </row>
    <row r="54" spans="1:17" x14ac:dyDescent="0.2">
      <c r="A54" s="206"/>
      <c r="B54" s="206"/>
      <c r="C54" s="206"/>
      <c r="D54" s="206"/>
      <c r="E54" s="206"/>
      <c r="F54" s="206"/>
      <c r="G54" s="206"/>
      <c r="H54" s="206"/>
      <c r="I54" s="206"/>
      <c r="J54" s="206"/>
      <c r="K54" s="206"/>
      <c r="L54" s="206"/>
      <c r="M54" s="224" t="s">
        <v>102</v>
      </c>
      <c r="N54" s="206"/>
      <c r="O54" s="206"/>
      <c r="P54" s="206"/>
      <c r="Q54" s="206"/>
    </row>
    <row r="55" spans="1:17" x14ac:dyDescent="0.2">
      <c r="A55" s="206"/>
      <c r="B55" s="206"/>
      <c r="C55" s="206"/>
      <c r="D55" s="206"/>
      <c r="E55" s="206"/>
      <c r="F55" s="206"/>
      <c r="G55" s="206"/>
      <c r="H55" s="206"/>
      <c r="I55" s="206"/>
      <c r="J55" s="206"/>
      <c r="K55" s="206"/>
      <c r="L55" s="206"/>
      <c r="M55" s="224" t="s">
        <v>102</v>
      </c>
      <c r="N55" s="206"/>
      <c r="O55" s="206"/>
      <c r="P55" s="206"/>
      <c r="Q55" s="206"/>
    </row>
    <row r="56" spans="1:17" x14ac:dyDescent="0.2">
      <c r="A56" s="206"/>
      <c r="B56" s="206"/>
      <c r="C56" s="206"/>
      <c r="D56" s="206"/>
      <c r="E56" s="206"/>
      <c r="F56" s="206"/>
      <c r="G56" s="206"/>
      <c r="H56" s="206"/>
      <c r="I56" s="206"/>
      <c r="J56" s="206"/>
      <c r="K56" s="206"/>
      <c r="L56" s="206"/>
      <c r="M56" s="224" t="s">
        <v>102</v>
      </c>
      <c r="N56" s="206"/>
      <c r="O56" s="206"/>
      <c r="P56" s="206"/>
      <c r="Q56" s="206"/>
    </row>
    <row r="57" spans="1:17" x14ac:dyDescent="0.2">
      <c r="A57" s="206"/>
      <c r="B57" s="206"/>
      <c r="C57" s="206"/>
      <c r="D57" s="206"/>
      <c r="E57" s="206"/>
      <c r="F57" s="206"/>
      <c r="G57" s="206"/>
      <c r="H57" s="206"/>
      <c r="I57" s="206"/>
      <c r="J57" s="206"/>
      <c r="K57" s="206"/>
      <c r="L57" s="206"/>
      <c r="M57" s="224" t="s">
        <v>102</v>
      </c>
      <c r="N57" s="206"/>
      <c r="O57" s="206"/>
      <c r="P57" s="206"/>
      <c r="Q57" s="206"/>
    </row>
    <row r="58" spans="1:17" x14ac:dyDescent="0.2">
      <c r="A58" s="206"/>
      <c r="B58" s="206"/>
      <c r="C58" s="206"/>
      <c r="D58" s="206"/>
      <c r="E58" s="206"/>
      <c r="F58" s="206"/>
      <c r="G58" s="206"/>
      <c r="H58" s="206"/>
      <c r="I58" s="206"/>
      <c r="J58" s="206"/>
      <c r="K58" s="206"/>
      <c r="L58" s="206"/>
      <c r="M58" s="224" t="s">
        <v>102</v>
      </c>
      <c r="N58" s="206"/>
      <c r="O58" s="206"/>
      <c r="P58" s="206"/>
      <c r="Q58" s="206"/>
    </row>
    <row r="59" spans="1:17" x14ac:dyDescent="0.2">
      <c r="A59" s="206"/>
      <c r="B59" s="206"/>
      <c r="C59" s="206"/>
      <c r="D59" s="206"/>
      <c r="E59" s="206"/>
      <c r="F59" s="206"/>
      <c r="G59" s="206"/>
      <c r="H59" s="206"/>
      <c r="I59" s="206"/>
      <c r="J59" s="206"/>
      <c r="K59" s="206"/>
      <c r="L59" s="206"/>
      <c r="M59" s="224" t="s">
        <v>102</v>
      </c>
      <c r="N59" s="206"/>
      <c r="O59" s="206"/>
      <c r="P59" s="206"/>
      <c r="Q59" s="206"/>
    </row>
    <row r="60" spans="1:17" x14ac:dyDescent="0.2">
      <c r="A60" s="206"/>
      <c r="B60" s="206"/>
      <c r="C60" s="206"/>
      <c r="D60" s="206"/>
      <c r="E60" s="206"/>
      <c r="F60" s="206"/>
      <c r="G60" s="206"/>
      <c r="H60" s="206"/>
      <c r="I60" s="206"/>
      <c r="J60" s="206"/>
      <c r="K60" s="206"/>
      <c r="L60" s="206"/>
      <c r="M60" s="224" t="s">
        <v>102</v>
      </c>
      <c r="N60" s="206"/>
      <c r="O60" s="206"/>
      <c r="P60" s="206"/>
      <c r="Q60" s="206"/>
    </row>
    <row r="61" spans="1:17" x14ac:dyDescent="0.2">
      <c r="A61" s="206"/>
      <c r="B61" s="206"/>
      <c r="C61" s="206"/>
      <c r="D61" s="206"/>
      <c r="E61" s="206"/>
      <c r="F61" s="206"/>
      <c r="G61" s="206"/>
      <c r="H61" s="206"/>
      <c r="I61" s="206"/>
      <c r="J61" s="206"/>
      <c r="K61" s="206"/>
      <c r="L61" s="206"/>
      <c r="M61" s="224" t="s">
        <v>102</v>
      </c>
      <c r="N61" s="206"/>
      <c r="O61" s="206"/>
      <c r="P61" s="206"/>
      <c r="Q61" s="206"/>
    </row>
    <row r="62" spans="1:17" x14ac:dyDescent="0.2">
      <c r="A62" s="206"/>
      <c r="B62" s="206"/>
      <c r="C62" s="206"/>
      <c r="D62" s="206"/>
      <c r="E62" s="206"/>
      <c r="F62" s="206"/>
      <c r="G62" s="206"/>
      <c r="H62" s="206"/>
      <c r="I62" s="206"/>
      <c r="J62" s="206"/>
      <c r="K62" s="206"/>
      <c r="L62" s="206"/>
      <c r="M62" s="224" t="s">
        <v>102</v>
      </c>
      <c r="N62" s="206"/>
      <c r="O62" s="206"/>
      <c r="P62" s="206"/>
      <c r="Q62" s="206"/>
    </row>
    <row r="63" spans="1:17" x14ac:dyDescent="0.2">
      <c r="A63" s="206"/>
      <c r="B63" s="206"/>
      <c r="C63" s="206"/>
      <c r="D63" s="206"/>
      <c r="E63" s="206"/>
      <c r="F63" s="206"/>
      <c r="G63" s="206"/>
      <c r="H63" s="206"/>
      <c r="I63" s="206"/>
      <c r="J63" s="206"/>
      <c r="K63" s="206"/>
      <c r="L63" s="206"/>
      <c r="M63" s="224" t="s">
        <v>102</v>
      </c>
      <c r="N63" s="206"/>
      <c r="O63" s="206"/>
      <c r="P63" s="206"/>
      <c r="Q63" s="206"/>
    </row>
    <row r="64" spans="1:17" x14ac:dyDescent="0.2">
      <c r="A64" s="206"/>
      <c r="B64" s="206"/>
      <c r="C64" s="206"/>
      <c r="D64" s="206"/>
      <c r="E64" s="206"/>
      <c r="F64" s="206"/>
      <c r="G64" s="206"/>
      <c r="H64" s="206"/>
      <c r="I64" s="206"/>
      <c r="J64" s="206"/>
      <c r="K64" s="206"/>
      <c r="L64" s="206"/>
      <c r="M64" s="224" t="s">
        <v>102</v>
      </c>
      <c r="N64" s="206"/>
      <c r="O64" s="206"/>
      <c r="P64" s="206"/>
      <c r="Q64" s="206"/>
    </row>
    <row r="65" spans="1:17" x14ac:dyDescent="0.2">
      <c r="A65" s="224" t="s">
        <v>102</v>
      </c>
      <c r="B65" s="224" t="s">
        <v>102</v>
      </c>
      <c r="C65" s="224" t="s">
        <v>102</v>
      </c>
      <c r="D65" s="224" t="s">
        <v>102</v>
      </c>
      <c r="E65" s="224" t="s">
        <v>102</v>
      </c>
      <c r="F65" s="224" t="s">
        <v>102</v>
      </c>
      <c r="G65" s="224" t="s">
        <v>102</v>
      </c>
      <c r="H65" s="224" t="s">
        <v>102</v>
      </c>
      <c r="I65" s="224" t="s">
        <v>102</v>
      </c>
      <c r="J65" s="224" t="s">
        <v>102</v>
      </c>
      <c r="K65" s="224" t="s">
        <v>102</v>
      </c>
      <c r="L65" s="224" t="s">
        <v>102</v>
      </c>
      <c r="M65" s="224" t="s">
        <v>102</v>
      </c>
      <c r="N65" s="206"/>
      <c r="O65" s="206"/>
      <c r="P65" s="206"/>
      <c r="Q65" s="206"/>
    </row>
    <row r="66" spans="1:17" x14ac:dyDescent="0.2">
      <c r="A66" s="224" t="s">
        <v>102</v>
      </c>
      <c r="B66" s="224" t="s">
        <v>102</v>
      </c>
      <c r="C66" s="224" t="s">
        <v>102</v>
      </c>
      <c r="D66" s="224" t="s">
        <v>102</v>
      </c>
      <c r="E66" s="224" t="s">
        <v>102</v>
      </c>
      <c r="F66" s="224" t="s">
        <v>102</v>
      </c>
      <c r="G66" s="224" t="s">
        <v>102</v>
      </c>
      <c r="H66" s="224" t="s">
        <v>102</v>
      </c>
      <c r="I66" s="224" t="s">
        <v>102</v>
      </c>
      <c r="J66" s="224" t="s">
        <v>102</v>
      </c>
      <c r="K66" s="224" t="s">
        <v>102</v>
      </c>
      <c r="L66" s="224" t="s">
        <v>102</v>
      </c>
      <c r="M66" s="224" t="s">
        <v>102</v>
      </c>
    </row>
  </sheetData>
  <sheetProtection sheet="1" objects="1" scenarios="1"/>
  <phoneticPr fontId="50" type="noConversion"/>
  <pageMargins left="0.78740157499999996" right="0.78740157499999996" top="0.984251969" bottom="0.984251969" header="0.49212598499999999" footer="0.49212598499999999"/>
  <pageSetup paperSize="9" orientation="portrait" r:id="rId1"/>
  <headerFooter alignWithMargins="0"/>
  <cellWatches>
    <cellWatch r="B30"/>
  </cellWatches>
  <drawing r:id="rId2"/>
  <legacyDrawing r:id="rId3"/>
  <oleObjects>
    <mc:AlternateContent xmlns:mc="http://schemas.openxmlformats.org/markup-compatibility/2006">
      <mc:Choice Requires="x14">
        <oleObject progId="Word.Document.8" shapeId="47111" r:id="rId4">
          <objectPr defaultSize="0" autoPict="0" r:id="rId5">
            <anchor moveWithCells="1">
              <from>
                <xdr:col>0</xdr:col>
                <xdr:colOff>342900</xdr:colOff>
                <xdr:row>0</xdr:row>
                <xdr:rowOff>66675</xdr:rowOff>
              </from>
              <to>
                <xdr:col>9</xdr:col>
                <xdr:colOff>19050</xdr:colOff>
                <xdr:row>23</xdr:row>
                <xdr:rowOff>114300</xdr:rowOff>
              </to>
            </anchor>
          </objectPr>
        </oleObject>
      </mc:Choice>
      <mc:Fallback>
        <oleObject progId="Word.Document.8" shapeId="47111" r:id="rId4"/>
      </mc:Fallback>
    </mc:AlternateContent>
  </oleObjec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8"/>
  <dimension ref="A2:I7"/>
  <sheetViews>
    <sheetView zoomScale="75" workbookViewId="0">
      <selection activeCell="A14" sqref="A14"/>
    </sheetView>
  </sheetViews>
  <sheetFormatPr defaultRowHeight="12.75" x14ac:dyDescent="0.2"/>
  <cols>
    <col min="1" max="1" width="47.28515625" customWidth="1"/>
    <col min="2" max="2" width="13.28515625" customWidth="1"/>
    <col min="3" max="3" width="11.5703125" customWidth="1"/>
    <col min="4" max="4" width="11.7109375" customWidth="1"/>
    <col min="5" max="5" width="10.85546875" customWidth="1"/>
    <col min="6" max="6" width="10.7109375" customWidth="1"/>
    <col min="7" max="7" width="12.85546875" customWidth="1"/>
    <col min="8" max="8" width="16.85546875" customWidth="1"/>
    <col min="9" max="9" width="21.42578125" customWidth="1"/>
  </cols>
  <sheetData>
    <row r="2" spans="1:9" x14ac:dyDescent="0.2">
      <c r="B2" t="str">
        <f>'RESUMO RESULTADO GERAL'!D4</f>
        <v/>
      </c>
      <c r="C2" t="str">
        <f>'RESUMO RESULTADO GERAL'!E4</f>
        <v/>
      </c>
      <c r="D2" t="str">
        <f>'RESUMO RESULTADO GERAL'!F4</f>
        <v/>
      </c>
      <c r="E2" t="str">
        <f>'RESUMO RESULTADO GERAL'!G4</f>
        <v/>
      </c>
      <c r="F2" t="str">
        <f>'RESUMO RESULTADO GERAL'!H4</f>
        <v/>
      </c>
      <c r="G2" t="str">
        <f>'RESUMO RESULTADO GERAL'!I4</f>
        <v>SUINOS</v>
      </c>
      <c r="H2" s="970" t="str">
        <f>'RESUMO RESULTADO GERAL'!J4</f>
        <v xml:space="preserve">                 AVES</v>
      </c>
      <c r="I2" t="str">
        <f>'RESUMO RESULTADO GERAL'!K4</f>
        <v xml:space="preserve">OUTROS ANIMAIS </v>
      </c>
    </row>
    <row r="3" spans="1:9" x14ac:dyDescent="0.2">
      <c r="H3" s="970"/>
    </row>
    <row r="4" spans="1:9" x14ac:dyDescent="0.2">
      <c r="A4" s="972" t="s">
        <v>564</v>
      </c>
    </row>
    <row r="5" spans="1:9" x14ac:dyDescent="0.2">
      <c r="A5" s="972" t="s">
        <v>561</v>
      </c>
    </row>
    <row r="6" spans="1:9" x14ac:dyDescent="0.2">
      <c r="A6" s="972" t="s">
        <v>562</v>
      </c>
    </row>
    <row r="7" spans="1:9" x14ac:dyDescent="0.2">
      <c r="A7" s="972" t="s">
        <v>563</v>
      </c>
    </row>
  </sheetData>
  <phoneticPr fontId="93" type="noConversion"/>
  <pageMargins left="0.78740157499999996" right="0.78740157499999996" top="0.984251969" bottom="0.984251969" header="0.49212598499999999" footer="0.49212598499999999"/>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9"/>
  <dimension ref="A1:L27"/>
  <sheetViews>
    <sheetView topLeftCell="A6" zoomScale="80" zoomScaleNormal="80" workbookViewId="0">
      <selection activeCell="C17" sqref="C17"/>
    </sheetView>
  </sheetViews>
  <sheetFormatPr defaultRowHeight="12.75" x14ac:dyDescent="0.2"/>
  <cols>
    <col min="1" max="1" width="43.42578125" style="23" customWidth="1"/>
    <col min="2" max="2" width="19.28515625" style="23" customWidth="1"/>
    <col min="3" max="3" width="14.7109375" style="23" customWidth="1"/>
    <col min="4" max="4" width="17.28515625" style="23" customWidth="1"/>
    <col min="5" max="5" width="12.42578125" style="23" customWidth="1"/>
    <col min="6" max="6" width="12.85546875" style="23" customWidth="1"/>
    <col min="7" max="7" width="11.5703125" style="23" customWidth="1"/>
    <col min="8" max="16384" width="9.140625" style="23"/>
  </cols>
  <sheetData>
    <row r="1" spans="1:12" ht="21.6" hidden="1" customHeight="1" thickBot="1" x14ac:dyDescent="0.25">
      <c r="A1" s="23" t="str">
        <f>CADASTRO!C4</f>
        <v>Digitar o nome</v>
      </c>
      <c r="B1" s="23">
        <f>CADASTRO!C12</f>
        <v>44013</v>
      </c>
    </row>
    <row r="2" spans="1:12" hidden="1" x14ac:dyDescent="0.2">
      <c r="A2" s="701"/>
      <c r="B2" s="702" t="s">
        <v>389</v>
      </c>
      <c r="C2" s="702" t="s">
        <v>387</v>
      </c>
      <c r="D2" s="703" t="s">
        <v>388</v>
      </c>
      <c r="E2" s="477"/>
    </row>
    <row r="3" spans="1:12" hidden="1" x14ac:dyDescent="0.2">
      <c r="A3" s="602" t="s">
        <v>385</v>
      </c>
      <c r="B3" s="603" t="s">
        <v>390</v>
      </c>
      <c r="C3" s="831" t="e">
        <f ca="1">' RESULT. DETALHE CUSTO LEITE'!H31</f>
        <v>#VALUE!</v>
      </c>
      <c r="D3" s="832" t="e">
        <f ca="1">' RESULT. DETALHE CUSTO LEITE'!H38</f>
        <v>#VALUE!</v>
      </c>
      <c r="E3" s="706"/>
    </row>
    <row r="4" spans="1:12" ht="13.5" hidden="1" thickBot="1" x14ac:dyDescent="0.25">
      <c r="A4" s="707" t="s">
        <v>386</v>
      </c>
      <c r="B4" s="708" t="s">
        <v>390</v>
      </c>
      <c r="C4" s="829" t="e">
        <f ca="1">' RESULT. DETALHE CUSTO LEITE'!D31</f>
        <v>#DIV/0!</v>
      </c>
      <c r="D4" s="830" t="e">
        <f ca="1">' RESULT. DETALHE CUSTO LEITE'!D38</f>
        <v>#DIV/0!</v>
      </c>
      <c r="E4" s="706"/>
    </row>
    <row r="5" spans="1:12" hidden="1" x14ac:dyDescent="0.2">
      <c r="A5" s="25"/>
      <c r="B5" s="25"/>
      <c r="C5" s="706"/>
      <c r="D5" s="706"/>
      <c r="E5" s="706"/>
      <c r="F5" s="25"/>
      <c r="G5" s="25"/>
      <c r="H5" s="25"/>
      <c r="I5" s="25"/>
      <c r="J5" s="25"/>
      <c r="K5" s="25"/>
      <c r="L5" s="25"/>
    </row>
    <row r="6" spans="1:12" ht="13.5" thickBot="1" x14ac:dyDescent="0.25">
      <c r="A6" s="25"/>
      <c r="B6" s="25"/>
      <c r="C6" s="706"/>
      <c r="D6" s="706"/>
      <c r="E6" s="706"/>
      <c r="F6" s="25"/>
      <c r="G6" s="25"/>
      <c r="H6" s="25"/>
      <c r="I6" s="25"/>
      <c r="J6" s="25"/>
      <c r="K6" s="25"/>
      <c r="L6" s="25"/>
    </row>
    <row r="7" spans="1:12" ht="13.5" thickBot="1" x14ac:dyDescent="0.25">
      <c r="A7" s="3404" t="s">
        <v>394</v>
      </c>
      <c r="B7" s="3405"/>
      <c r="C7" s="3405"/>
      <c r="D7" s="3405"/>
      <c r="E7" s="3405"/>
      <c r="F7" s="3405"/>
      <c r="G7" s="3405"/>
      <c r="H7" s="3405"/>
      <c r="I7" s="3406"/>
      <c r="J7" s="25"/>
      <c r="K7" s="25"/>
      <c r="L7" s="25"/>
    </row>
    <row r="8" spans="1:12" x14ac:dyDescent="0.2">
      <c r="A8" s="544"/>
      <c r="B8" s="710" t="s">
        <v>389</v>
      </c>
      <c r="C8" s="710" t="s">
        <v>387</v>
      </c>
      <c r="D8" s="711" t="s">
        <v>388</v>
      </c>
      <c r="E8" s="477"/>
      <c r="F8" s="712" t="s">
        <v>36</v>
      </c>
      <c r="G8" s="713" t="s">
        <v>392</v>
      </c>
      <c r="H8" s="714" t="s">
        <v>387</v>
      </c>
      <c r="I8" s="715" t="s">
        <v>388</v>
      </c>
    </row>
    <row r="9" spans="1:12" x14ac:dyDescent="0.2">
      <c r="A9" s="602" t="str">
        <f>'res. custo cultivo e criação  '!C3</f>
        <v/>
      </c>
      <c r="B9" s="603" t="s">
        <v>391</v>
      </c>
      <c r="C9" s="704" t="e">
        <f ca="1">'res. custo cultivo e criação  '!C24</f>
        <v>#DIV/0!</v>
      </c>
      <c r="D9" s="704" t="e">
        <f ca="1">'res. custo cultivo e criação  '!C25</f>
        <v>#DIV/0!</v>
      </c>
      <c r="E9" s="704"/>
      <c r="F9" s="603" t="s">
        <v>393</v>
      </c>
      <c r="G9" s="27">
        <v>60</v>
      </c>
      <c r="H9" s="704" t="e">
        <f ca="1">C9*G9</f>
        <v>#DIV/0!</v>
      </c>
      <c r="I9" s="705" t="e">
        <f ca="1">D9*G9</f>
        <v>#DIV/0!</v>
      </c>
    </row>
    <row r="10" spans="1:12" x14ac:dyDescent="0.2">
      <c r="A10" s="602" t="str">
        <f>'res. custo cultivo e criação  '!C30</f>
        <v/>
      </c>
      <c r="B10" s="603" t="s">
        <v>391</v>
      </c>
      <c r="C10" s="704" t="e">
        <f ca="1">'res. custo cultivo e criação  '!C55</f>
        <v>#DIV/0!</v>
      </c>
      <c r="D10" s="704" t="e">
        <f ca="1">'res. custo cultivo e criação  '!C56</f>
        <v>#DIV/0!</v>
      </c>
      <c r="E10" s="704"/>
      <c r="F10" s="603" t="s">
        <v>393</v>
      </c>
      <c r="G10" s="27"/>
      <c r="H10" s="704" t="e">
        <f ca="1">C10*G10</f>
        <v>#DIV/0!</v>
      </c>
      <c r="I10" s="705" t="e">
        <f ca="1">D10*G10</f>
        <v>#DIV/0!</v>
      </c>
    </row>
    <row r="11" spans="1:12" x14ac:dyDescent="0.2">
      <c r="A11" s="602" t="str">
        <f>'res. custo cultivo e criação  '!C61</f>
        <v/>
      </c>
      <c r="B11" s="603" t="s">
        <v>391</v>
      </c>
      <c r="C11" s="704" t="e">
        <f ca="1">'res. custo cultivo e criação  '!C81</f>
        <v>#DIV/0!</v>
      </c>
      <c r="D11" s="704" t="e">
        <f ca="1">'res. custo cultivo e criação  '!C82</f>
        <v>#DIV/0!</v>
      </c>
      <c r="E11" s="704"/>
      <c r="F11" s="603" t="s">
        <v>393</v>
      </c>
      <c r="G11" s="27"/>
      <c r="H11" s="704" t="e">
        <f ca="1">C11*G11</f>
        <v>#DIV/0!</v>
      </c>
      <c r="I11" s="705" t="e">
        <f ca="1">D11*G11</f>
        <v>#DIV/0!</v>
      </c>
    </row>
    <row r="12" spans="1:12" x14ac:dyDescent="0.2">
      <c r="A12" s="602" t="str">
        <f>'res. custo cultivo e criação  '!C87</f>
        <v/>
      </c>
      <c r="B12" s="603" t="s">
        <v>391</v>
      </c>
      <c r="C12" s="704" t="e">
        <f ca="1">'res. custo cultivo e criação  '!C108</f>
        <v>#DIV/0!</v>
      </c>
      <c r="D12" s="704" t="e">
        <f ca="1">'res. custo cultivo e criação  '!C109</f>
        <v>#DIV/0!</v>
      </c>
      <c r="E12" s="704"/>
      <c r="F12" s="603" t="s">
        <v>393</v>
      </c>
      <c r="G12" s="27"/>
      <c r="H12" s="704" t="e">
        <f ca="1">C12*G12</f>
        <v>#DIV/0!</v>
      </c>
      <c r="I12" s="705" t="e">
        <f ca="1">D12*G12</f>
        <v>#DIV/0!</v>
      </c>
    </row>
    <row r="13" spans="1:12" ht="13.5" thickBot="1" x14ac:dyDescent="0.25">
      <c r="A13" s="707" t="str">
        <f>'res. custo cultivo e criação  '!C114</f>
        <v/>
      </c>
      <c r="B13" s="708" t="s">
        <v>391</v>
      </c>
      <c r="C13" s="709" t="e">
        <f ca="1">'res. custo cultivo e criação  '!C134</f>
        <v>#DIV/0!</v>
      </c>
      <c r="D13" s="709" t="e">
        <f ca="1">'res. custo cultivo e criação  '!C135</f>
        <v>#DIV/0!</v>
      </c>
      <c r="E13" s="709"/>
      <c r="F13" s="708" t="s">
        <v>393</v>
      </c>
      <c r="G13" s="833"/>
      <c r="H13" s="704" t="e">
        <f ca="1">C13*G13</f>
        <v>#DIV/0!</v>
      </c>
      <c r="I13" s="705" t="e">
        <f ca="1">D13*G13</f>
        <v>#DIV/0!</v>
      </c>
    </row>
    <row r="14" spans="1:12" ht="13.5" thickBot="1" x14ac:dyDescent="0.25">
      <c r="F14" s="25"/>
    </row>
    <row r="15" spans="1:12" ht="13.5" thickBot="1" x14ac:dyDescent="0.25">
      <c r="A15" s="3404" t="s">
        <v>395</v>
      </c>
      <c r="B15" s="3405"/>
      <c r="C15" s="3405"/>
      <c r="D15" s="3406"/>
    </row>
    <row r="16" spans="1:12" x14ac:dyDescent="0.2">
      <c r="A16" s="466"/>
      <c r="B16" s="716" t="s">
        <v>389</v>
      </c>
      <c r="C16" s="716" t="s">
        <v>387</v>
      </c>
      <c r="D16" s="717" t="s">
        <v>388</v>
      </c>
      <c r="E16" s="477"/>
    </row>
    <row r="17" spans="1:6" x14ac:dyDescent="0.2">
      <c r="A17" s="602">
        <f>SOLO!G30</f>
        <v>0</v>
      </c>
      <c r="B17" s="603" t="s">
        <v>391</v>
      </c>
      <c r="C17" s="718" t="e">
        <f ca="1">('resumo gastos CULTIVOS'!D9+'resumo gastos CULTIVOS'!E9+'resumo gastos CULTIVOS'!F9+'resumo gastos CULTIVOS'!H9+'resumo gastos CULTIVOS'!J9)/PRODUÇÃO!D19</f>
        <v>#DIV/0!</v>
      </c>
      <c r="D17" s="719" t="e">
        <f ca="1">('resumo gastos CULTIVOS'!D9+'resumo gastos CULTIVOS'!E9+'resumo gastos CULTIVOS'!F9+'resumo gastos CULTIVOS'!G9+'resumo gastos CULTIVOS'!H9+'resumo gastos CULTIVOS'!I9+'resumo gastos CULTIVOS'!J9)/PRODUÇÃO!D19</f>
        <v>#DIV/0!</v>
      </c>
    </row>
    <row r="18" spans="1:6" x14ac:dyDescent="0.2">
      <c r="A18" s="602">
        <f>SOLO!G32</f>
        <v>0</v>
      </c>
      <c r="B18" s="603" t="s">
        <v>391</v>
      </c>
      <c r="C18" s="718" t="e">
        <f ca="1">('resumo gastos CULTIVOS'!D10+'resumo gastos CULTIVOS'!E10+'resumo gastos CULTIVOS'!F10+'resumo gastos CULTIVOS'!H10+'resumo gastos CULTIVOS'!J10)/PRODUÇÃO!D20</f>
        <v>#DIV/0!</v>
      </c>
      <c r="D18" s="719" t="e">
        <f ca="1">('resumo gastos CULTIVOS'!D10+'resumo gastos CULTIVOS'!E10+'resumo gastos CULTIVOS'!F10+'resumo gastos CULTIVOS'!G10+'resumo gastos CULTIVOS'!H10+'resumo gastos CULTIVOS'!I10+'resumo gastos CULTIVOS'!J10)/PRODUÇÃO!D20</f>
        <v>#DIV/0!</v>
      </c>
    </row>
    <row r="19" spans="1:6" ht="13.5" thickBot="1" x14ac:dyDescent="0.25">
      <c r="A19" s="707"/>
      <c r="B19" s="708"/>
      <c r="C19" s="708"/>
      <c r="D19" s="720"/>
    </row>
    <row r="20" spans="1:6" ht="13.5" thickBot="1" x14ac:dyDescent="0.25"/>
    <row r="21" spans="1:6" ht="13.5" thickBot="1" x14ac:dyDescent="0.25">
      <c r="A21" s="3404" t="s">
        <v>400</v>
      </c>
      <c r="B21" s="3405"/>
      <c r="C21" s="3405"/>
      <c r="D21" s="3405"/>
      <c r="E21" s="3405"/>
      <c r="F21" s="3406"/>
    </row>
    <row r="22" spans="1:6" x14ac:dyDescent="0.2">
      <c r="A22" s="721"/>
      <c r="B22" s="710" t="s">
        <v>399</v>
      </c>
      <c r="C22" s="710" t="s">
        <v>292</v>
      </c>
      <c r="D22" s="710" t="s">
        <v>401</v>
      </c>
      <c r="E22" s="710" t="s">
        <v>397</v>
      </c>
      <c r="F22" s="717" t="s">
        <v>398</v>
      </c>
    </row>
    <row r="23" spans="1:6" x14ac:dyDescent="0.2">
      <c r="A23" s="722" t="s">
        <v>396</v>
      </c>
      <c r="B23" s="723">
        <f ca="1">' RESULT. DETALHE CUSTO LEITE'!C51</f>
        <v>0</v>
      </c>
      <c r="C23" s="724">
        <f>'resumo gastos CULTIVOS'!G48+'resumo gastos CULTIVOS'!G49+'resumo gastos CULTIVOS'!G50+'resumo gastos CULTIVOS'!G51+'resumo gastos CULTIVOS'!G52+'resumo gastos CULTIVOS'!I48+'resumo gastos CULTIVOS'!I49+'resumo gastos CULTIVOS'!I50+'resumo gastos CULTIVOS'!I51+'resumo gastos CULTIVOS'!I52</f>
        <v>0</v>
      </c>
      <c r="D23" s="725">
        <f>'resumo gastos CULTIVOS'!E40+'resumo gastos CULTIVOS'!E41+'resumo gastos CULTIVOS'!E42+'resumo gastos CULTIVOS'!E43+'resumo gastos CULTIVOS'!E44</f>
        <v>0</v>
      </c>
      <c r="E23" s="726" t="e">
        <f ca="1">B23/D23</f>
        <v>#DIV/0!</v>
      </c>
      <c r="F23" s="727" t="e">
        <f ca="1">(B23+C23)/D23</f>
        <v>#DIV/0!</v>
      </c>
    </row>
    <row r="24" spans="1:6" x14ac:dyDescent="0.2">
      <c r="A24" s="722" t="s">
        <v>379</v>
      </c>
      <c r="B24" s="723">
        <f>'DESPESAS (Gado)'!G20</f>
        <v>0</v>
      </c>
      <c r="C24" s="724" t="s">
        <v>343</v>
      </c>
      <c r="D24" s="725">
        <f>'DESPESAS (Gado)'!E20</f>
        <v>0</v>
      </c>
      <c r="E24" s="726" t="e">
        <f>B24/D24</f>
        <v>#DIV/0!</v>
      </c>
      <c r="F24" s="727"/>
    </row>
    <row r="25" spans="1:6" ht="13.5" thickBot="1" x14ac:dyDescent="0.25">
      <c r="A25" s="728" t="s">
        <v>434</v>
      </c>
      <c r="B25" s="729">
        <f ca="1">SUM(B23:B24)</f>
        <v>0</v>
      </c>
      <c r="C25" s="730">
        <f>C23</f>
        <v>0</v>
      </c>
      <c r="D25" s="731">
        <f>SUM(D23:D24)</f>
        <v>0</v>
      </c>
      <c r="E25" s="732"/>
      <c r="F25" s="733" t="e">
        <f ca="1">(B25+C25)/D25</f>
        <v>#DIV/0!</v>
      </c>
    </row>
    <row r="27" spans="1:6" ht="16.5" hidden="1" thickBot="1" x14ac:dyDescent="0.3">
      <c r="A27" s="734" t="s">
        <v>433</v>
      </c>
      <c r="B27" s="735"/>
      <c r="C27" s="736" t="e">
        <f ca="1">'F. resultad econ. glob. detalh'!B58/(REBANHO!C8+REBANHO!C9)</f>
        <v>#DIV/0!</v>
      </c>
    </row>
  </sheetData>
  <mergeCells count="3">
    <mergeCell ref="A7:I7"/>
    <mergeCell ref="A15:D15"/>
    <mergeCell ref="A21:F21"/>
  </mergeCells>
  <phoneticPr fontId="50" type="noConversion"/>
  <pageMargins left="0.78740157480314965" right="0.78740157480314965" top="0.98425196850393704" bottom="0.98425196850393704" header="0.51181102362204722" footer="0.51181102362204722"/>
  <pageSetup paperSize="9" scale="85" orientation="landscape" r:id="rId1"/>
  <headerFooter alignWithMargins="0"/>
  <colBreaks count="1" manualBreakCount="1">
    <brk id="9"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0"/>
  <dimension ref="A1:N253"/>
  <sheetViews>
    <sheetView view="pageBreakPreview" topLeftCell="A194" zoomScale="75" zoomScaleNormal="75" zoomScaleSheetLayoutView="75" workbookViewId="0">
      <selection activeCell="I157" sqref="I157"/>
    </sheetView>
  </sheetViews>
  <sheetFormatPr defaultRowHeight="12.75" x14ac:dyDescent="0.2"/>
  <cols>
    <col min="1" max="1" width="82.28515625" style="246" customWidth="1"/>
    <col min="2" max="2" width="10" style="246" customWidth="1"/>
    <col min="3" max="3" width="16.28515625" style="329" customWidth="1"/>
    <col min="4" max="4" width="11.85546875" style="246" customWidth="1"/>
    <col min="5" max="5" width="15.28515625" style="245" hidden="1" customWidth="1"/>
    <col min="6" max="6" width="13.5703125" style="246" hidden="1" customWidth="1"/>
    <col min="7" max="7" width="10.28515625" style="246" bestFit="1" customWidth="1"/>
    <col min="8" max="8" width="12" style="246" bestFit="1" customWidth="1"/>
    <col min="9" max="10" width="9.140625" style="246" customWidth="1"/>
    <col min="11" max="11" width="10.28515625" style="246" bestFit="1" customWidth="1"/>
    <col min="12" max="12" width="16.85546875" style="245" bestFit="1" customWidth="1"/>
    <col min="13" max="16384" width="9.140625" style="246"/>
  </cols>
  <sheetData>
    <row r="1" spans="1:14" x14ac:dyDescent="0.2">
      <c r="A1" s="225"/>
      <c r="B1" s="225"/>
      <c r="C1" s="242"/>
      <c r="D1" s="225"/>
      <c r="E1" s="243"/>
      <c r="F1" s="243"/>
      <c r="G1" s="243"/>
      <c r="H1" s="244"/>
      <c r="I1" s="244"/>
      <c r="J1" s="244"/>
      <c r="K1" s="244"/>
      <c r="M1" s="245"/>
      <c r="N1" s="245"/>
    </row>
    <row r="2" spans="1:14" ht="13.5" thickBot="1" x14ac:dyDescent="0.25">
      <c r="A2" s="609" t="str">
        <f>CADASTRO!C4</f>
        <v>Digitar o nome</v>
      </c>
      <c r="B2" s="609">
        <f>CADASTRO!C12</f>
        <v>44013</v>
      </c>
      <c r="C2" s="248"/>
      <c r="D2" s="247"/>
      <c r="E2" s="249"/>
      <c r="F2" s="243"/>
      <c r="G2" s="623" t="s">
        <v>102</v>
      </c>
      <c r="H2" s="244"/>
      <c r="I2" s="244"/>
      <c r="J2" s="244"/>
      <c r="K2" s="244"/>
      <c r="M2" s="245"/>
      <c r="N2" s="245"/>
    </row>
    <row r="3" spans="1:14" ht="13.5" thickBot="1" x14ac:dyDescent="0.25">
      <c r="A3" s="250" t="s">
        <v>155</v>
      </c>
      <c r="B3" s="251"/>
      <c r="C3" s="418" t="str">
        <f>PRODUÇÃO!B9</f>
        <v/>
      </c>
      <c r="D3" s="253"/>
      <c r="E3" s="249"/>
      <c r="F3" s="243"/>
      <c r="G3" s="623" t="s">
        <v>102</v>
      </c>
      <c r="H3" s="244"/>
      <c r="I3" s="244"/>
      <c r="J3" s="244"/>
      <c r="K3" s="244"/>
      <c r="M3" s="245"/>
      <c r="N3" s="245"/>
    </row>
    <row r="4" spans="1:14" ht="13.5" thickBot="1" x14ac:dyDescent="0.25">
      <c r="A4" s="3407" t="s">
        <v>179</v>
      </c>
      <c r="B4" s="3408"/>
      <c r="C4" s="3408"/>
      <c r="D4" s="3409"/>
      <c r="E4" s="249"/>
      <c r="F4" s="243"/>
      <c r="G4" s="623" t="s">
        <v>102</v>
      </c>
      <c r="H4" s="244"/>
      <c r="I4" s="244"/>
      <c r="J4" s="244"/>
      <c r="K4" s="244"/>
      <c r="M4" s="245"/>
      <c r="N4" s="245"/>
    </row>
    <row r="5" spans="1:14" x14ac:dyDescent="0.2">
      <c r="A5" s="408" t="s">
        <v>169</v>
      </c>
      <c r="B5" s="255"/>
      <c r="C5" s="256" t="s">
        <v>87</v>
      </c>
      <c r="D5" s="409" t="s">
        <v>88</v>
      </c>
      <c r="E5" s="249"/>
      <c r="F5" s="243"/>
      <c r="G5" s="623" t="s">
        <v>102</v>
      </c>
      <c r="H5" s="244"/>
      <c r="I5" s="244"/>
      <c r="J5" s="244"/>
      <c r="K5" s="244"/>
      <c r="M5" s="245"/>
      <c r="N5" s="245"/>
    </row>
    <row r="6" spans="1:14" x14ac:dyDescent="0.2">
      <c r="A6" s="412" t="s">
        <v>266</v>
      </c>
      <c r="B6" s="412"/>
      <c r="C6" s="259"/>
      <c r="D6" s="287"/>
      <c r="E6" s="249"/>
      <c r="F6" s="243"/>
      <c r="G6" s="623" t="s">
        <v>102</v>
      </c>
      <c r="H6" s="244"/>
      <c r="I6" s="244"/>
      <c r="J6" s="244"/>
      <c r="K6" s="244"/>
      <c r="M6" s="245"/>
      <c r="N6" s="245"/>
    </row>
    <row r="7" spans="1:14" x14ac:dyDescent="0.2">
      <c r="A7" s="268" t="s">
        <v>181</v>
      </c>
      <c r="B7" s="268"/>
      <c r="C7" s="269">
        <f>'resumo gastos CULTIVOS'!D4</f>
        <v>0</v>
      </c>
      <c r="D7" s="270">
        <f ca="1">C7/$C$21</f>
        <v>0</v>
      </c>
      <c r="E7" s="249"/>
      <c r="F7" s="243"/>
      <c r="G7" s="623" t="s">
        <v>102</v>
      </c>
      <c r="H7" s="244"/>
      <c r="I7" s="244"/>
      <c r="J7" s="244"/>
      <c r="K7" s="244"/>
      <c r="M7" s="245"/>
      <c r="N7" s="245"/>
    </row>
    <row r="8" spans="1:14" x14ac:dyDescent="0.2">
      <c r="A8" s="268" t="s">
        <v>307</v>
      </c>
      <c r="B8" s="268"/>
      <c r="C8" s="271">
        <f>'resumo gastos CULTIVOS'!E4</f>
        <v>0</v>
      </c>
      <c r="D8" s="270">
        <f t="shared" ref="D8:D21" ca="1" si="0">C8/$C$21</f>
        <v>0</v>
      </c>
      <c r="E8" s="249"/>
      <c r="F8" s="243"/>
      <c r="G8" s="623" t="s">
        <v>102</v>
      </c>
      <c r="H8" s="244"/>
      <c r="I8" s="244"/>
      <c r="J8" s="244"/>
      <c r="K8" s="244"/>
      <c r="M8" s="245"/>
      <c r="N8" s="245"/>
    </row>
    <row r="9" spans="1:14" x14ac:dyDescent="0.2">
      <c r="A9" s="304" t="s">
        <v>327</v>
      </c>
      <c r="B9" s="304"/>
      <c r="C9" s="271">
        <f>'resumo gastos CULTIVOS'!F4</f>
        <v>0</v>
      </c>
      <c r="D9" s="270">
        <f t="shared" ca="1" si="0"/>
        <v>0</v>
      </c>
      <c r="E9" s="249"/>
      <c r="F9" s="243"/>
      <c r="G9" s="623" t="s">
        <v>102</v>
      </c>
      <c r="H9" s="244"/>
      <c r="I9" s="244"/>
      <c r="J9" s="244"/>
      <c r="K9" s="244"/>
      <c r="M9" s="245"/>
      <c r="N9" s="245"/>
    </row>
    <row r="10" spans="1:14" x14ac:dyDescent="0.2">
      <c r="A10" s="268" t="s">
        <v>308</v>
      </c>
      <c r="B10" s="268"/>
      <c r="C10" s="271">
        <f ca="1">'resumo gastos CULTIVOS'!H4</f>
        <v>0</v>
      </c>
      <c r="D10" s="270">
        <f t="shared" ca="1" si="0"/>
        <v>0</v>
      </c>
      <c r="E10" s="249"/>
      <c r="F10" s="243"/>
      <c r="G10" s="623" t="s">
        <v>102</v>
      </c>
      <c r="H10" s="244"/>
      <c r="I10" s="244"/>
      <c r="J10" s="244"/>
      <c r="K10" s="244"/>
      <c r="M10" s="245"/>
      <c r="N10" s="245"/>
    </row>
    <row r="11" spans="1:14" x14ac:dyDescent="0.2">
      <c r="A11" s="268" t="s">
        <v>309</v>
      </c>
      <c r="B11" s="315"/>
      <c r="C11" s="271">
        <f>'resumo gastos CULTIVOS'!J4</f>
        <v>0</v>
      </c>
      <c r="D11" s="270">
        <f t="shared" ca="1" si="0"/>
        <v>0</v>
      </c>
      <c r="E11" s="249"/>
      <c r="F11" s="243"/>
      <c r="G11" s="623" t="s">
        <v>102</v>
      </c>
      <c r="H11" s="244"/>
      <c r="I11" s="244"/>
      <c r="J11" s="244"/>
      <c r="K11" s="244"/>
      <c r="M11" s="245"/>
      <c r="N11" s="245"/>
    </row>
    <row r="12" spans="1:14" x14ac:dyDescent="0.2">
      <c r="A12" s="272"/>
      <c r="B12" s="620"/>
      <c r="C12" s="273"/>
      <c r="D12" s="270"/>
      <c r="E12" s="249"/>
      <c r="F12" s="243"/>
      <c r="G12" s="623" t="s">
        <v>102</v>
      </c>
      <c r="H12" s="244"/>
      <c r="I12" s="244"/>
      <c r="J12" s="244"/>
      <c r="K12" s="244"/>
      <c r="M12" s="245"/>
      <c r="N12" s="245"/>
    </row>
    <row r="13" spans="1:14" x14ac:dyDescent="0.2">
      <c r="A13" s="272"/>
      <c r="B13" s="430"/>
      <c r="C13" s="273"/>
      <c r="D13" s="270"/>
      <c r="E13" s="249"/>
      <c r="F13" s="243"/>
      <c r="G13" s="623" t="s">
        <v>102</v>
      </c>
      <c r="H13" s="244"/>
      <c r="I13" s="244"/>
      <c r="J13" s="244"/>
      <c r="K13" s="244"/>
      <c r="M13" s="245"/>
      <c r="N13" s="245"/>
    </row>
    <row r="14" spans="1:14" x14ac:dyDescent="0.2">
      <c r="A14" s="305" t="s">
        <v>60</v>
      </c>
      <c r="B14" s="305"/>
      <c r="C14" s="276">
        <f ca="1">SUM(C7:C12)</f>
        <v>0</v>
      </c>
      <c r="D14" s="270"/>
      <c r="E14" s="249"/>
      <c r="F14" s="243"/>
      <c r="G14" s="623" t="s">
        <v>102</v>
      </c>
      <c r="H14" s="244"/>
      <c r="I14" s="244"/>
      <c r="J14" s="244"/>
      <c r="K14" s="244"/>
      <c r="M14" s="245"/>
      <c r="N14" s="245"/>
    </row>
    <row r="15" spans="1:14" x14ac:dyDescent="0.2">
      <c r="A15" s="274"/>
      <c r="B15" s="275"/>
      <c r="C15" s="410"/>
      <c r="D15" s="411"/>
      <c r="E15" s="249"/>
      <c r="F15" s="243"/>
      <c r="G15" s="623" t="s">
        <v>102</v>
      </c>
      <c r="H15" s="244"/>
      <c r="I15" s="244"/>
      <c r="J15" s="244"/>
      <c r="K15" s="244"/>
      <c r="M15" s="245"/>
      <c r="N15" s="245"/>
    </row>
    <row r="16" spans="1:14" x14ac:dyDescent="0.2">
      <c r="A16" s="277" t="s">
        <v>172</v>
      </c>
      <c r="B16" s="278"/>
      <c r="C16" s="259"/>
      <c r="D16" s="270"/>
      <c r="E16" s="249"/>
      <c r="F16" s="243"/>
      <c r="G16" s="623" t="s">
        <v>102</v>
      </c>
      <c r="H16" s="244"/>
      <c r="I16" s="244"/>
      <c r="J16" s="244"/>
      <c r="K16" s="244"/>
      <c r="M16" s="245"/>
      <c r="N16" s="245"/>
    </row>
    <row r="17" spans="1:14" x14ac:dyDescent="0.2">
      <c r="A17" s="279" t="s">
        <v>182</v>
      </c>
      <c r="B17" s="280"/>
      <c r="C17" s="281">
        <f>'resumo gastos CULTIVOS'!G4</f>
        <v>0</v>
      </c>
      <c r="D17" s="270">
        <f t="shared" ca="1" si="0"/>
        <v>0</v>
      </c>
      <c r="E17" s="243"/>
      <c r="F17" s="243"/>
      <c r="G17" s="623" t="s">
        <v>102</v>
      </c>
      <c r="H17" s="244"/>
      <c r="I17" s="244"/>
      <c r="J17" s="244"/>
      <c r="K17" s="244"/>
      <c r="M17" s="245"/>
      <c r="N17" s="245"/>
    </row>
    <row r="18" spans="1:14" x14ac:dyDescent="0.2">
      <c r="A18" s="279" t="s">
        <v>183</v>
      </c>
      <c r="B18" s="280"/>
      <c r="C18" s="281">
        <f>'resumo gastos CULTIVOS'!I4</f>
        <v>1181.25</v>
      </c>
      <c r="D18" s="270">
        <f t="shared" ca="1" si="0"/>
        <v>1</v>
      </c>
      <c r="E18" s="243"/>
      <c r="F18" s="243"/>
      <c r="G18" s="623" t="s">
        <v>102</v>
      </c>
      <c r="H18" s="244"/>
      <c r="I18" s="244"/>
      <c r="J18" s="244"/>
      <c r="K18" s="244"/>
      <c r="M18" s="245"/>
      <c r="N18" s="245"/>
    </row>
    <row r="19" spans="1:14" x14ac:dyDescent="0.2">
      <c r="A19" s="282" t="s">
        <v>60</v>
      </c>
      <c r="B19" s="283"/>
      <c r="C19" s="264">
        <f>SUMIF(C17:C18,"&gt;0",C17:C18)</f>
        <v>1181.25</v>
      </c>
      <c r="D19" s="270"/>
      <c r="E19" s="261">
        <f>C19</f>
        <v>1181.25</v>
      </c>
      <c r="F19" s="243"/>
      <c r="G19" s="623" t="s">
        <v>102</v>
      </c>
      <c r="H19" s="244"/>
      <c r="I19" s="244"/>
      <c r="J19" s="244"/>
      <c r="K19" s="244"/>
      <c r="L19" s="284"/>
      <c r="M19" s="245"/>
      <c r="N19" s="245"/>
    </row>
    <row r="20" spans="1:14" x14ac:dyDescent="0.2">
      <c r="A20" s="258"/>
      <c r="B20" s="247"/>
      <c r="C20" s="281"/>
      <c r="D20" s="270"/>
      <c r="E20" s="243"/>
      <c r="F20" s="243"/>
      <c r="G20" s="623" t="s">
        <v>102</v>
      </c>
      <c r="H20" s="244"/>
      <c r="I20" s="244"/>
      <c r="J20" s="244"/>
      <c r="K20" s="244"/>
      <c r="M20" s="245"/>
      <c r="N20" s="245"/>
    </row>
    <row r="21" spans="1:14" x14ac:dyDescent="0.2">
      <c r="A21" s="285" t="s">
        <v>333</v>
      </c>
      <c r="B21" s="286"/>
      <c r="C21" s="264">
        <f ca="1">C14+C19</f>
        <v>1181.25</v>
      </c>
      <c r="D21" s="287">
        <f t="shared" ca="1" si="0"/>
        <v>1</v>
      </c>
      <c r="E21" s="243"/>
      <c r="F21" s="243"/>
      <c r="G21" s="623" t="s">
        <v>102</v>
      </c>
      <c r="H21" s="244"/>
      <c r="I21" s="244"/>
      <c r="J21" s="244"/>
      <c r="K21" s="244"/>
      <c r="M21" s="245"/>
      <c r="N21" s="245"/>
    </row>
    <row r="22" spans="1:14" x14ac:dyDescent="0.2">
      <c r="A22" s="288" t="s">
        <v>270</v>
      </c>
      <c r="B22" s="289"/>
      <c r="C22" s="290"/>
      <c r="D22" s="230"/>
      <c r="E22" s="243"/>
      <c r="F22" s="243"/>
      <c r="G22" s="623" t="s">
        <v>102</v>
      </c>
      <c r="H22" s="244"/>
      <c r="I22" s="244"/>
      <c r="J22" s="244"/>
      <c r="K22" s="244"/>
      <c r="M22" s="245"/>
      <c r="N22" s="245"/>
    </row>
    <row r="23" spans="1:14" x14ac:dyDescent="0.2">
      <c r="A23" s="291" t="s">
        <v>336</v>
      </c>
      <c r="B23" s="292"/>
      <c r="C23" s="293">
        <f>PRODUÇÃO!L9</f>
        <v>0</v>
      </c>
      <c r="D23" s="230"/>
      <c r="E23" s="433"/>
      <c r="F23" s="243"/>
      <c r="G23" s="623" t="s">
        <v>102</v>
      </c>
      <c r="H23" s="244"/>
      <c r="I23" s="244"/>
      <c r="J23" s="244"/>
      <c r="K23" s="244"/>
      <c r="M23" s="245"/>
      <c r="N23" s="245"/>
    </row>
    <row r="24" spans="1:14" x14ac:dyDescent="0.2">
      <c r="A24" s="294" t="s">
        <v>337</v>
      </c>
      <c r="B24" s="295"/>
      <c r="C24" s="435" t="e">
        <f ca="1">C14/C23</f>
        <v>#DIV/0!</v>
      </c>
      <c r="D24" s="230"/>
      <c r="E24" s="437" t="e">
        <f ca="1">ROUNDUP(C24,2)</f>
        <v>#DIV/0!</v>
      </c>
      <c r="F24" s="243"/>
      <c r="G24" s="623" t="s">
        <v>102</v>
      </c>
      <c r="H24" s="244"/>
      <c r="I24" s="244"/>
      <c r="J24" s="244"/>
      <c r="K24" s="244"/>
      <c r="M24" s="245"/>
      <c r="N24" s="245"/>
    </row>
    <row r="25" spans="1:14" x14ac:dyDescent="0.2">
      <c r="A25" s="296" t="s">
        <v>338</v>
      </c>
      <c r="B25" s="296"/>
      <c r="C25" s="436" t="e">
        <f ca="1">C21/C23</f>
        <v>#DIV/0!</v>
      </c>
      <c r="D25" s="226"/>
      <c r="E25" s="437" t="e">
        <f ca="1">ROUNDUP(C25,2)</f>
        <v>#DIV/0!</v>
      </c>
      <c r="F25" s="243"/>
      <c r="G25" s="623" t="s">
        <v>102</v>
      </c>
      <c r="H25" s="244"/>
      <c r="I25" s="244"/>
      <c r="J25" s="244"/>
      <c r="K25" s="244"/>
      <c r="M25" s="245"/>
      <c r="N25" s="245"/>
    </row>
    <row r="26" spans="1:14" x14ac:dyDescent="0.2">
      <c r="A26" s="296" t="s">
        <v>334</v>
      </c>
      <c r="B26" s="296"/>
      <c r="C26" s="228" t="e">
        <f ca="1">C21/SOLO!I86</f>
        <v>#DIV/0!</v>
      </c>
      <c r="D26" s="226"/>
      <c r="E26" s="434"/>
      <c r="F26" s="243"/>
      <c r="G26" s="623" t="s">
        <v>102</v>
      </c>
      <c r="H26" s="244"/>
      <c r="I26" s="244"/>
      <c r="J26" s="244"/>
      <c r="K26" s="244"/>
      <c r="M26" s="245"/>
      <c r="N26" s="245"/>
    </row>
    <row r="27" spans="1:14" x14ac:dyDescent="0.2">
      <c r="A27" s="296" t="s">
        <v>335</v>
      </c>
      <c r="B27" s="296"/>
      <c r="C27" s="228" t="e">
        <f ca="1">C21/SOLO!I86</f>
        <v>#DIV/0!</v>
      </c>
      <c r="D27" s="226"/>
      <c r="E27" s="243"/>
      <c r="F27" s="243"/>
      <c r="G27" s="623" t="s">
        <v>102</v>
      </c>
      <c r="H27" s="244"/>
      <c r="I27" s="244"/>
      <c r="J27" s="244"/>
      <c r="K27" s="244"/>
      <c r="M27" s="245"/>
      <c r="N27" s="245"/>
    </row>
    <row r="28" spans="1:14" ht="13.5" thickBot="1" x14ac:dyDescent="0.25">
      <c r="A28" s="297"/>
      <c r="B28" s="298"/>
      <c r="C28" s="299"/>
      <c r="D28" s="300"/>
      <c r="E28" s="243"/>
      <c r="F28" s="243"/>
      <c r="G28" s="623" t="s">
        <v>102</v>
      </c>
      <c r="H28" s="244"/>
      <c r="I28" s="244"/>
      <c r="J28" s="244"/>
      <c r="K28" s="244"/>
      <c r="M28" s="245"/>
      <c r="N28" s="245"/>
    </row>
    <row r="29" spans="1:14" ht="13.5" thickBot="1" x14ac:dyDescent="0.25">
      <c r="A29" s="244"/>
      <c r="B29" s="244"/>
      <c r="C29" s="301"/>
      <c r="D29" s="244"/>
      <c r="E29" s="243"/>
      <c r="F29" s="243"/>
      <c r="G29" s="623" t="s">
        <v>102</v>
      </c>
      <c r="H29" s="244"/>
      <c r="I29" s="244"/>
      <c r="J29" s="244"/>
      <c r="K29" s="244"/>
      <c r="M29" s="245"/>
      <c r="N29" s="245"/>
    </row>
    <row r="30" spans="1:14" ht="13.5" thickBot="1" x14ac:dyDescent="0.25">
      <c r="A30" s="250" t="s">
        <v>155</v>
      </c>
      <c r="B30" s="251"/>
      <c r="C30" s="418" t="str">
        <f>PRODUÇÃO!B10</f>
        <v/>
      </c>
      <c r="D30" s="302"/>
      <c r="E30" s="243"/>
      <c r="F30" s="243"/>
      <c r="G30" s="623" t="s">
        <v>102</v>
      </c>
      <c r="H30" s="244"/>
      <c r="I30" s="244"/>
      <c r="J30" s="244"/>
      <c r="K30" s="244"/>
      <c r="M30" s="245"/>
      <c r="N30" s="245"/>
    </row>
    <row r="31" spans="1:14" ht="13.5" thickBot="1" x14ac:dyDescent="0.25">
      <c r="A31" s="3407" t="s">
        <v>179</v>
      </c>
      <c r="B31" s="3408"/>
      <c r="C31" s="3408"/>
      <c r="D31" s="3409"/>
      <c r="E31" s="243"/>
      <c r="F31" s="243"/>
      <c r="G31" s="623" t="s">
        <v>102</v>
      </c>
      <c r="H31" s="244"/>
      <c r="I31" s="244"/>
      <c r="J31" s="244"/>
      <c r="K31" s="244"/>
      <c r="M31" s="245"/>
      <c r="N31" s="245"/>
    </row>
    <row r="32" spans="1:14" x14ac:dyDescent="0.2">
      <c r="A32" s="408" t="s">
        <v>169</v>
      </c>
      <c r="B32" s="255"/>
      <c r="C32" s="256" t="s">
        <v>87</v>
      </c>
      <c r="D32" s="409" t="s">
        <v>88</v>
      </c>
      <c r="E32" s="243"/>
      <c r="F32" s="243"/>
      <c r="G32" s="623" t="s">
        <v>102</v>
      </c>
      <c r="H32" s="244"/>
      <c r="I32" s="244"/>
      <c r="J32" s="244"/>
      <c r="K32" s="262"/>
      <c r="M32" s="245"/>
      <c r="N32" s="245"/>
    </row>
    <row r="33" spans="1:14" x14ac:dyDescent="0.2">
      <c r="A33" s="412" t="s">
        <v>266</v>
      </c>
      <c r="B33" s="412"/>
      <c r="C33" s="259"/>
      <c r="D33" s="287"/>
      <c r="E33" s="243"/>
      <c r="F33" s="243"/>
      <c r="G33" s="623" t="s">
        <v>102</v>
      </c>
      <c r="H33" s="244"/>
      <c r="I33" s="244"/>
      <c r="J33" s="244"/>
      <c r="K33" s="244"/>
      <c r="M33" s="245"/>
      <c r="N33" s="245"/>
    </row>
    <row r="34" spans="1:14" x14ac:dyDescent="0.2">
      <c r="A34" s="268" t="s">
        <v>181</v>
      </c>
      <c r="B34" s="268"/>
      <c r="C34" s="259">
        <f>'resumo gastos CULTIVOS'!D5</f>
        <v>0</v>
      </c>
      <c r="D34" s="270" t="e">
        <f ca="1">C34/$C$52</f>
        <v>#DIV/0!</v>
      </c>
      <c r="E34" s="243"/>
      <c r="F34" s="243"/>
      <c r="G34" s="623" t="s">
        <v>102</v>
      </c>
      <c r="H34" s="244"/>
      <c r="I34" s="244"/>
      <c r="J34" s="244"/>
      <c r="K34" s="244"/>
      <c r="M34" s="245"/>
      <c r="N34" s="245"/>
    </row>
    <row r="35" spans="1:14" x14ac:dyDescent="0.2">
      <c r="A35" s="268" t="s">
        <v>307</v>
      </c>
      <c r="B35" s="268"/>
      <c r="C35" s="271">
        <f>'resumo gastos CULTIVOS'!E5</f>
        <v>0</v>
      </c>
      <c r="D35" s="270" t="e">
        <f t="shared" ref="D35:D52" ca="1" si="1">C35/$C$52</f>
        <v>#DIV/0!</v>
      </c>
      <c r="E35" s="243"/>
      <c r="F35" s="243"/>
      <c r="G35" s="623" t="s">
        <v>102</v>
      </c>
      <c r="H35" s="244"/>
      <c r="I35" s="244"/>
      <c r="J35" s="244"/>
      <c r="K35" s="244"/>
      <c r="M35" s="245"/>
      <c r="N35" s="245"/>
    </row>
    <row r="36" spans="1:14" x14ac:dyDescent="0.2">
      <c r="A36" s="304" t="s">
        <v>302</v>
      </c>
      <c r="B36" s="304"/>
      <c r="C36" s="271">
        <f>'resumo gastos CULTIVOS'!F5</f>
        <v>0</v>
      </c>
      <c r="D36" s="270" t="e">
        <f t="shared" ca="1" si="1"/>
        <v>#DIV/0!</v>
      </c>
      <c r="E36" s="243"/>
      <c r="F36" s="243"/>
      <c r="G36" s="623" t="s">
        <v>102</v>
      </c>
      <c r="H36" s="244"/>
      <c r="I36" s="244"/>
      <c r="J36" s="244"/>
      <c r="K36" s="244"/>
      <c r="M36" s="245"/>
      <c r="N36" s="245"/>
    </row>
    <row r="37" spans="1:14" x14ac:dyDescent="0.2">
      <c r="A37" s="268" t="s">
        <v>308</v>
      </c>
      <c r="B37" s="268"/>
      <c r="C37" s="271">
        <f ca="1">'resumo gastos CULTIVOS'!H5</f>
        <v>0</v>
      </c>
      <c r="D37" s="270" t="e">
        <f t="shared" ca="1" si="1"/>
        <v>#DIV/0!</v>
      </c>
      <c r="E37" s="243"/>
      <c r="F37" s="243"/>
      <c r="G37" s="623" t="s">
        <v>102</v>
      </c>
      <c r="H37" s="244"/>
      <c r="I37" s="244"/>
      <c r="J37" s="244"/>
      <c r="K37" s="244"/>
      <c r="M37" s="245"/>
      <c r="N37" s="245"/>
    </row>
    <row r="38" spans="1:14" x14ac:dyDescent="0.2">
      <c r="A38" s="268" t="s">
        <v>309</v>
      </c>
      <c r="B38" s="268"/>
      <c r="C38" s="271">
        <f>'resumo gastos CULTIVOS'!J5</f>
        <v>0</v>
      </c>
      <c r="D38" s="270" t="e">
        <f t="shared" ca="1" si="1"/>
        <v>#DIV/0!</v>
      </c>
      <c r="E38" s="243"/>
      <c r="F38" s="243"/>
      <c r="G38" s="623" t="s">
        <v>102</v>
      </c>
      <c r="H38" s="244"/>
      <c r="I38" s="244"/>
      <c r="J38" s="244"/>
      <c r="K38" s="244"/>
      <c r="M38" s="245"/>
      <c r="N38" s="245"/>
    </row>
    <row r="39" spans="1:14" x14ac:dyDescent="0.2">
      <c r="A39" s="272"/>
      <c r="B39" s="621"/>
      <c r="C39" s="431"/>
      <c r="D39" s="270"/>
      <c r="E39" s="243"/>
      <c r="F39" s="243"/>
      <c r="G39" s="623" t="s">
        <v>102</v>
      </c>
      <c r="H39" s="244"/>
      <c r="I39" s="244"/>
      <c r="J39" s="244"/>
      <c r="K39" s="244"/>
      <c r="M39" s="245"/>
      <c r="N39" s="245"/>
    </row>
    <row r="40" spans="1:14" x14ac:dyDescent="0.2">
      <c r="A40" s="268"/>
      <c r="B40" s="430"/>
      <c r="C40" s="271"/>
      <c r="D40" s="287"/>
      <c r="E40" s="243"/>
      <c r="F40" s="243"/>
      <c r="G40" s="623" t="s">
        <v>102</v>
      </c>
      <c r="H40" s="244"/>
      <c r="I40" s="244"/>
      <c r="J40" s="244"/>
      <c r="K40" s="244"/>
      <c r="M40" s="245"/>
      <c r="N40" s="245"/>
    </row>
    <row r="41" spans="1:14" x14ac:dyDescent="0.2">
      <c r="A41" s="305" t="s">
        <v>60</v>
      </c>
      <c r="B41" s="305"/>
      <c r="C41" s="264">
        <f ca="1">SUM(C34:C40)</f>
        <v>0</v>
      </c>
      <c r="D41" s="287"/>
      <c r="E41" s="243"/>
      <c r="F41" s="243"/>
      <c r="G41" s="623" t="s">
        <v>102</v>
      </c>
      <c r="H41" s="244"/>
      <c r="I41" s="244"/>
      <c r="J41" s="244"/>
      <c r="K41" s="244"/>
      <c r="M41" s="245"/>
      <c r="N41" s="245"/>
    </row>
    <row r="42" spans="1:14" x14ac:dyDescent="0.2">
      <c r="A42" s="305"/>
      <c r="B42" s="305"/>
      <c r="C42" s="264"/>
      <c r="D42" s="287"/>
      <c r="E42" s="243"/>
      <c r="F42" s="243"/>
      <c r="G42" s="623" t="s">
        <v>102</v>
      </c>
      <c r="H42" s="244"/>
      <c r="I42" s="244"/>
      <c r="J42" s="244"/>
      <c r="K42" s="244"/>
      <c r="M42" s="245"/>
      <c r="N42" s="245"/>
    </row>
    <row r="43" spans="1:14" x14ac:dyDescent="0.2">
      <c r="A43" s="412" t="s">
        <v>172</v>
      </c>
      <c r="B43" s="412"/>
      <c r="C43" s="259"/>
      <c r="D43" s="287"/>
      <c r="E43" s="243"/>
      <c r="F43" s="243"/>
      <c r="G43" s="623" t="s">
        <v>102</v>
      </c>
      <c r="H43" s="244"/>
      <c r="I43" s="244"/>
      <c r="J43" s="244"/>
      <c r="K43" s="244"/>
      <c r="M43" s="245"/>
      <c r="N43" s="245"/>
    </row>
    <row r="44" spans="1:14" x14ac:dyDescent="0.2">
      <c r="A44" s="268" t="s">
        <v>182</v>
      </c>
      <c r="B44" s="268"/>
      <c r="C44" s="281">
        <f>'resumo gastos CULTIVOS'!G5</f>
        <v>0</v>
      </c>
      <c r="D44" s="287" t="e">
        <f t="shared" ca="1" si="1"/>
        <v>#DIV/0!</v>
      </c>
      <c r="E44" s="243"/>
      <c r="F44" s="243"/>
      <c r="G44" s="623" t="s">
        <v>102</v>
      </c>
      <c r="H44" s="244"/>
      <c r="I44" s="244"/>
      <c r="J44" s="244"/>
      <c r="K44" s="244"/>
      <c r="M44" s="245"/>
      <c r="N44" s="245"/>
    </row>
    <row r="45" spans="1:14" x14ac:dyDescent="0.2">
      <c r="A45" s="268" t="s">
        <v>183</v>
      </c>
      <c r="B45" s="268"/>
      <c r="C45" s="281">
        <f>'resumo gastos CULTIVOS'!I5</f>
        <v>0</v>
      </c>
      <c r="D45" s="287" t="e">
        <f t="shared" ca="1" si="1"/>
        <v>#DIV/0!</v>
      </c>
      <c r="E45" s="243"/>
      <c r="F45" s="243"/>
      <c r="G45" s="623" t="s">
        <v>102</v>
      </c>
      <c r="H45" s="244"/>
      <c r="I45" s="244"/>
      <c r="J45" s="244"/>
      <c r="K45" s="244"/>
      <c r="M45" s="245"/>
      <c r="N45" s="245"/>
    </row>
    <row r="46" spans="1:14" x14ac:dyDescent="0.2">
      <c r="A46" s="413" t="s">
        <v>60</v>
      </c>
      <c r="B46" s="413"/>
      <c r="C46" s="264">
        <f>SUMIF(C44:C45,"&gt;0",C44:C45)</f>
        <v>0</v>
      </c>
      <c r="D46" s="287"/>
      <c r="E46" s="261">
        <f>C46</f>
        <v>0</v>
      </c>
      <c r="F46" s="243"/>
      <c r="G46" s="623" t="s">
        <v>102</v>
      </c>
      <c r="H46" s="244"/>
      <c r="I46" s="244"/>
      <c r="J46" s="244"/>
      <c r="K46" s="244"/>
      <c r="L46" s="284"/>
      <c r="M46" s="245"/>
      <c r="N46" s="245"/>
    </row>
    <row r="47" spans="1:14" x14ac:dyDescent="0.2">
      <c r="A47" s="303"/>
      <c r="B47" s="303"/>
      <c r="C47" s="281"/>
      <c r="D47" s="287"/>
      <c r="E47" s="243"/>
      <c r="F47" s="243"/>
      <c r="G47" s="623" t="s">
        <v>102</v>
      </c>
      <c r="H47" s="244"/>
      <c r="I47" s="244"/>
      <c r="J47" s="244"/>
      <c r="K47" s="244"/>
      <c r="M47" s="245"/>
      <c r="N47" s="245"/>
    </row>
    <row r="48" spans="1:14" hidden="1" x14ac:dyDescent="0.2">
      <c r="A48" s="412" t="s">
        <v>170</v>
      </c>
      <c r="B48" s="412"/>
      <c r="C48" s="290"/>
      <c r="D48" s="287" t="e">
        <f t="shared" ca="1" si="1"/>
        <v>#DIV/0!</v>
      </c>
      <c r="E48" s="243"/>
      <c r="F48" s="243"/>
      <c r="G48" s="623" t="s">
        <v>102</v>
      </c>
      <c r="H48" s="244"/>
      <c r="I48" s="244"/>
      <c r="J48" s="244"/>
      <c r="K48" s="244"/>
      <c r="M48" s="245"/>
      <c r="N48" s="245"/>
    </row>
    <row r="49" spans="1:14" hidden="1" x14ac:dyDescent="0.2">
      <c r="A49" s="412" t="s">
        <v>185</v>
      </c>
      <c r="B49" s="412"/>
      <c r="C49" s="290">
        <f>'resumo gastos CULTIVOS'!E63</f>
        <v>0</v>
      </c>
      <c r="D49" s="287" t="e">
        <f t="shared" ca="1" si="1"/>
        <v>#DIV/0!</v>
      </c>
      <c r="E49" s="243"/>
      <c r="F49" s="243"/>
      <c r="G49" s="623" t="s">
        <v>102</v>
      </c>
      <c r="H49" s="244"/>
      <c r="I49" s="244"/>
      <c r="J49" s="244"/>
      <c r="K49" s="244"/>
      <c r="M49" s="245"/>
      <c r="N49" s="245"/>
    </row>
    <row r="50" spans="1:14" hidden="1" x14ac:dyDescent="0.2">
      <c r="A50" s="412" t="s">
        <v>186</v>
      </c>
      <c r="B50" s="412"/>
      <c r="C50" s="290">
        <f>'resumo gastos CULTIVOS'!F63</f>
        <v>0</v>
      </c>
      <c r="D50" s="287" t="e">
        <f t="shared" ca="1" si="1"/>
        <v>#DIV/0!</v>
      </c>
      <c r="E50" s="243"/>
      <c r="F50" s="243"/>
      <c r="G50" s="623" t="s">
        <v>102</v>
      </c>
      <c r="H50" s="244"/>
      <c r="I50" s="244"/>
      <c r="J50" s="244"/>
      <c r="K50" s="244"/>
      <c r="M50" s="245"/>
      <c r="N50" s="245"/>
    </row>
    <row r="51" spans="1:14" hidden="1" x14ac:dyDescent="0.2">
      <c r="A51" s="414" t="s">
        <v>187</v>
      </c>
      <c r="B51" s="414"/>
      <c r="C51" s="228">
        <f>C49+C50</f>
        <v>0</v>
      </c>
      <c r="D51" s="287" t="e">
        <f t="shared" ca="1" si="1"/>
        <v>#DIV/0!</v>
      </c>
      <c r="E51" s="243"/>
      <c r="F51" s="243"/>
      <c r="G51" s="623" t="s">
        <v>102</v>
      </c>
      <c r="H51" s="244"/>
      <c r="I51" s="244"/>
      <c r="J51" s="244"/>
      <c r="K51" s="244"/>
      <c r="M51" s="245"/>
      <c r="N51" s="245"/>
    </row>
    <row r="52" spans="1:14" x14ac:dyDescent="0.2">
      <c r="A52" s="415" t="s">
        <v>269</v>
      </c>
      <c r="B52" s="415"/>
      <c r="C52" s="228">
        <f ca="1">C41+C46</f>
        <v>0</v>
      </c>
      <c r="D52" s="287" t="e">
        <f t="shared" ca="1" si="1"/>
        <v>#DIV/0!</v>
      </c>
      <c r="E52" s="243"/>
      <c r="F52" s="243"/>
      <c r="G52" s="623" t="s">
        <v>102</v>
      </c>
      <c r="H52" s="244"/>
      <c r="I52" s="244"/>
      <c r="J52" s="244"/>
      <c r="K52" s="244"/>
      <c r="M52" s="245"/>
      <c r="N52" s="245"/>
    </row>
    <row r="53" spans="1:14" x14ac:dyDescent="0.2">
      <c r="A53" s="412" t="s">
        <v>171</v>
      </c>
      <c r="B53" s="412"/>
      <c r="C53" s="290"/>
      <c r="D53" s="226"/>
      <c r="E53" s="243"/>
      <c r="F53" s="243"/>
      <c r="G53" s="623" t="s">
        <v>102</v>
      </c>
      <c r="H53" s="244"/>
      <c r="I53" s="244"/>
      <c r="J53" s="244"/>
      <c r="K53" s="262"/>
      <c r="M53" s="245"/>
      <c r="N53" s="245"/>
    </row>
    <row r="54" spans="1:14" x14ac:dyDescent="0.2">
      <c r="A54" s="296" t="s">
        <v>336</v>
      </c>
      <c r="B54" s="296"/>
      <c r="C54" s="293">
        <f>PRODUÇÃO!L10</f>
        <v>0</v>
      </c>
      <c r="D54" s="226"/>
      <c r="E54" s="438"/>
      <c r="F54" s="243"/>
      <c r="G54" s="623" t="s">
        <v>102</v>
      </c>
      <c r="H54" s="244"/>
      <c r="I54" s="244"/>
      <c r="J54" s="244"/>
      <c r="K54" s="244"/>
      <c r="M54" s="245"/>
      <c r="N54" s="245"/>
    </row>
    <row r="55" spans="1:14" x14ac:dyDescent="0.2">
      <c r="A55" s="296" t="s">
        <v>337</v>
      </c>
      <c r="B55" s="296"/>
      <c r="C55" s="228" t="e">
        <f ca="1">C41/C54</f>
        <v>#DIV/0!</v>
      </c>
      <c r="D55" s="226"/>
      <c r="E55" s="440" t="e">
        <f ca="1">ROUNDUP(C55,2)</f>
        <v>#DIV/0!</v>
      </c>
      <c r="F55" s="243"/>
      <c r="G55" s="623" t="s">
        <v>102</v>
      </c>
      <c r="H55" s="244"/>
      <c r="I55" s="244"/>
      <c r="J55" s="244"/>
      <c r="K55" s="244"/>
      <c r="M55" s="245"/>
      <c r="N55" s="245"/>
    </row>
    <row r="56" spans="1:14" x14ac:dyDescent="0.2">
      <c r="A56" s="296" t="s">
        <v>338</v>
      </c>
      <c r="B56" s="296"/>
      <c r="C56" s="228" t="e">
        <f ca="1">C52/C54</f>
        <v>#DIV/0!</v>
      </c>
      <c r="D56" s="226"/>
      <c r="E56" s="438"/>
      <c r="F56" s="243"/>
      <c r="G56" s="623" t="s">
        <v>102</v>
      </c>
      <c r="H56" s="244"/>
      <c r="I56" s="244"/>
      <c r="J56" s="244"/>
      <c r="K56" s="244"/>
      <c r="M56" s="245"/>
      <c r="N56" s="245"/>
    </row>
    <row r="57" spans="1:14" x14ac:dyDescent="0.2">
      <c r="A57" s="296" t="s">
        <v>334</v>
      </c>
      <c r="B57" s="296"/>
      <c r="C57" s="228" t="e">
        <f ca="1">C41/SOLO!I87</f>
        <v>#DIV/0!</v>
      </c>
      <c r="D57" s="226"/>
      <c r="E57" s="243"/>
      <c r="F57" s="243"/>
      <c r="G57" s="623" t="s">
        <v>102</v>
      </c>
      <c r="H57" s="244"/>
      <c r="I57" s="244"/>
      <c r="J57" s="244"/>
      <c r="K57" s="244"/>
      <c r="M57" s="245"/>
      <c r="N57" s="245"/>
    </row>
    <row r="58" spans="1:14" x14ac:dyDescent="0.2">
      <c r="A58" s="296" t="s">
        <v>335</v>
      </c>
      <c r="B58" s="296"/>
      <c r="C58" s="228" t="e">
        <f ca="1">C52/SOLO!I87</f>
        <v>#DIV/0!</v>
      </c>
      <c r="D58" s="226"/>
      <c r="E58" s="243"/>
      <c r="F58" s="243"/>
      <c r="G58" s="623" t="s">
        <v>102</v>
      </c>
      <c r="H58" s="244"/>
      <c r="I58" s="244"/>
      <c r="J58" s="244"/>
      <c r="K58" s="244"/>
      <c r="M58" s="245"/>
      <c r="N58" s="245"/>
    </row>
    <row r="59" spans="1:14" x14ac:dyDescent="0.2">
      <c r="A59" s="416"/>
      <c r="B59" s="416"/>
      <c r="C59" s="320"/>
      <c r="D59" s="229"/>
      <c r="E59" s="249"/>
      <c r="F59" s="243"/>
      <c r="G59" s="623" t="s">
        <v>102</v>
      </c>
      <c r="H59" s="244"/>
      <c r="I59" s="244"/>
      <c r="J59" s="244"/>
      <c r="K59" s="244"/>
      <c r="M59" s="245"/>
      <c r="N59" s="245"/>
    </row>
    <row r="60" spans="1:14" ht="13.5" thickBot="1" x14ac:dyDescent="0.25">
      <c r="A60" s="416"/>
      <c r="B60" s="416"/>
      <c r="C60" s="320"/>
      <c r="D60" s="229"/>
      <c r="E60" s="249"/>
      <c r="F60" s="243"/>
      <c r="G60" s="623" t="s">
        <v>102</v>
      </c>
      <c r="H60" s="244"/>
      <c r="I60" s="244"/>
      <c r="J60" s="244"/>
      <c r="K60" s="244"/>
      <c r="M60" s="245"/>
      <c r="N60" s="245"/>
    </row>
    <row r="61" spans="1:14" ht="13.5" thickBot="1" x14ac:dyDescent="0.25">
      <c r="A61" s="250" t="s">
        <v>155</v>
      </c>
      <c r="B61" s="251"/>
      <c r="C61" s="417" t="str">
        <f>PRODUÇÃO!B11</f>
        <v/>
      </c>
      <c r="D61" s="226"/>
      <c r="E61" s="243"/>
      <c r="F61" s="243"/>
      <c r="G61" s="623" t="s">
        <v>102</v>
      </c>
      <c r="H61" s="244"/>
      <c r="I61" s="244"/>
      <c r="J61" s="244"/>
      <c r="K61" s="244"/>
      <c r="M61" s="245"/>
      <c r="N61" s="245"/>
    </row>
    <row r="62" spans="1:14" ht="13.5" thickBot="1" x14ac:dyDescent="0.25">
      <c r="A62" s="3407" t="s">
        <v>179</v>
      </c>
      <c r="B62" s="3408"/>
      <c r="C62" s="3408"/>
      <c r="D62" s="3410"/>
      <c r="E62" s="243"/>
      <c r="F62" s="243"/>
      <c r="G62" s="623" t="s">
        <v>102</v>
      </c>
      <c r="H62" s="244"/>
      <c r="I62" s="244"/>
      <c r="J62" s="244"/>
      <c r="K62" s="244"/>
      <c r="M62" s="245"/>
      <c r="N62" s="245"/>
    </row>
    <row r="63" spans="1:14" ht="13.5" thickBot="1" x14ac:dyDescent="0.25">
      <c r="A63" s="254" t="s">
        <v>169</v>
      </c>
      <c r="B63" s="255"/>
      <c r="C63" s="256" t="s">
        <v>87</v>
      </c>
      <c r="D63" s="257" t="s">
        <v>88</v>
      </c>
      <c r="E63" s="243"/>
      <c r="F63" s="243"/>
      <c r="G63" s="623" t="s">
        <v>102</v>
      </c>
      <c r="H63" s="244"/>
      <c r="I63" s="244"/>
      <c r="J63" s="244"/>
      <c r="K63" s="244"/>
      <c r="M63" s="245"/>
      <c r="N63" s="245"/>
    </row>
    <row r="64" spans="1:14" x14ac:dyDescent="0.2">
      <c r="A64" s="265" t="s">
        <v>266</v>
      </c>
      <c r="B64" s="266"/>
      <c r="C64" s="259"/>
      <c r="D64" s="260"/>
      <c r="E64" s="243"/>
      <c r="F64" s="243"/>
      <c r="G64" s="623" t="s">
        <v>102</v>
      </c>
      <c r="H64" s="244"/>
      <c r="I64" s="244"/>
      <c r="J64" s="244"/>
      <c r="K64" s="244"/>
      <c r="M64" s="245"/>
      <c r="N64" s="245"/>
    </row>
    <row r="65" spans="1:14" x14ac:dyDescent="0.2">
      <c r="A65" s="303" t="s">
        <v>181</v>
      </c>
      <c r="B65" s="303"/>
      <c r="C65" s="259">
        <f>'resumo gastos CULTIVOS'!D6</f>
        <v>0</v>
      </c>
      <c r="D65" s="270" t="e">
        <f ca="1">C65/$C$78</f>
        <v>#DIV/0!</v>
      </c>
      <c r="E65" s="243"/>
      <c r="F65" s="243"/>
      <c r="G65" s="623" t="s">
        <v>102</v>
      </c>
      <c r="H65" s="244"/>
      <c r="I65" s="244"/>
      <c r="J65" s="244"/>
      <c r="K65" s="244"/>
      <c r="M65" s="245"/>
      <c r="N65" s="245"/>
    </row>
    <row r="66" spans="1:14" x14ac:dyDescent="0.2">
      <c r="A66" s="303" t="s">
        <v>307</v>
      </c>
      <c r="B66" s="303"/>
      <c r="C66" s="259">
        <f>'resumo gastos CULTIVOS'!E6</f>
        <v>0</v>
      </c>
      <c r="D66" s="270" t="e">
        <f t="shared" ref="D66:D78" ca="1" si="2">C66/$C$78</f>
        <v>#DIV/0!</v>
      </c>
      <c r="E66" s="243"/>
      <c r="F66" s="243"/>
      <c r="G66" s="623" t="s">
        <v>102</v>
      </c>
      <c r="H66" s="244"/>
      <c r="I66" s="244"/>
      <c r="J66" s="244"/>
      <c r="K66" s="244"/>
      <c r="M66" s="245"/>
      <c r="N66" s="245"/>
    </row>
    <row r="67" spans="1:14" x14ac:dyDescent="0.2">
      <c r="A67" s="304" t="s">
        <v>302</v>
      </c>
      <c r="B67" s="304"/>
      <c r="C67" s="259">
        <f>'resumo gastos CULTIVOS'!F6</f>
        <v>0</v>
      </c>
      <c r="D67" s="270" t="e">
        <f t="shared" ca="1" si="2"/>
        <v>#DIV/0!</v>
      </c>
      <c r="E67" s="243"/>
      <c r="F67" s="243"/>
      <c r="G67" s="623" t="s">
        <v>102</v>
      </c>
      <c r="H67" s="244"/>
      <c r="I67" s="244"/>
      <c r="J67" s="244"/>
      <c r="K67" s="244"/>
      <c r="M67" s="245"/>
      <c r="N67" s="245"/>
    </row>
    <row r="68" spans="1:14" x14ac:dyDescent="0.2">
      <c r="A68" s="303" t="s">
        <v>308</v>
      </c>
      <c r="B68" s="303"/>
      <c r="C68" s="259">
        <f ca="1">'resumo gastos CULTIVOS'!H6</f>
        <v>0</v>
      </c>
      <c r="D68" s="270" t="e">
        <f t="shared" ca="1" si="2"/>
        <v>#DIV/0!</v>
      </c>
      <c r="E68" s="243"/>
      <c r="F68" s="243"/>
      <c r="G68" s="623" t="s">
        <v>102</v>
      </c>
      <c r="H68" s="244"/>
      <c r="I68" s="244"/>
      <c r="J68" s="244"/>
      <c r="K68" s="244"/>
      <c r="M68" s="245"/>
      <c r="N68" s="245"/>
    </row>
    <row r="69" spans="1:14" x14ac:dyDescent="0.2">
      <c r="A69" s="268" t="s">
        <v>309</v>
      </c>
      <c r="B69" s="268"/>
      <c r="C69" s="259">
        <f>'resumo gastos CULTIVOS'!J6</f>
        <v>0</v>
      </c>
      <c r="D69" s="270" t="e">
        <f t="shared" ca="1" si="2"/>
        <v>#DIV/0!</v>
      </c>
      <c r="E69" s="243"/>
      <c r="F69" s="243"/>
      <c r="G69" s="623" t="s">
        <v>102</v>
      </c>
      <c r="H69" s="244"/>
      <c r="I69" s="244"/>
      <c r="J69" s="244"/>
      <c r="K69" s="244"/>
      <c r="M69" s="245"/>
      <c r="N69" s="245"/>
    </row>
    <row r="70" spans="1:14" x14ac:dyDescent="0.2">
      <c r="A70" s="272" t="s">
        <v>344</v>
      </c>
      <c r="B70" s="621"/>
      <c r="C70" s="432"/>
      <c r="D70" s="270"/>
      <c r="E70" s="243"/>
      <c r="F70" s="243"/>
      <c r="G70" s="623" t="s">
        <v>102</v>
      </c>
      <c r="H70" s="244"/>
      <c r="I70" s="244"/>
      <c r="J70" s="244"/>
      <c r="K70" s="244"/>
      <c r="M70" s="245"/>
      <c r="N70" s="245"/>
    </row>
    <row r="71" spans="1:14" x14ac:dyDescent="0.2">
      <c r="A71" s="272"/>
      <c r="B71" s="430"/>
      <c r="C71" s="432"/>
      <c r="D71" s="270"/>
      <c r="E71" s="243"/>
      <c r="F71" s="243"/>
      <c r="G71" s="623" t="s">
        <v>102</v>
      </c>
      <c r="H71" s="244"/>
      <c r="I71" s="244"/>
      <c r="J71" s="244"/>
      <c r="K71" s="244"/>
      <c r="M71" s="245"/>
      <c r="N71" s="245"/>
    </row>
    <row r="72" spans="1:14" x14ac:dyDescent="0.2">
      <c r="A72" s="305" t="s">
        <v>60</v>
      </c>
      <c r="B72" s="305"/>
      <c r="C72" s="306">
        <f ca="1">SUM(C65:C70)</f>
        <v>0</v>
      </c>
      <c r="D72" s="270"/>
      <c r="E72" s="243"/>
      <c r="F72" s="243"/>
      <c r="G72" s="623" t="s">
        <v>102</v>
      </c>
      <c r="H72" s="244"/>
      <c r="I72" s="244"/>
      <c r="J72" s="244"/>
      <c r="K72" s="244"/>
      <c r="M72" s="245"/>
      <c r="N72" s="245"/>
    </row>
    <row r="73" spans="1:14" x14ac:dyDescent="0.2">
      <c r="A73" s="412" t="s">
        <v>172</v>
      </c>
      <c r="B73" s="412"/>
      <c r="C73" s="259"/>
      <c r="D73" s="270"/>
      <c r="E73" s="243"/>
      <c r="F73" s="243"/>
      <c r="G73" s="623" t="s">
        <v>102</v>
      </c>
      <c r="H73" s="244"/>
      <c r="I73" s="244"/>
      <c r="J73" s="244"/>
      <c r="K73" s="262"/>
      <c r="M73" s="245"/>
      <c r="N73" s="245"/>
    </row>
    <row r="74" spans="1:14" x14ac:dyDescent="0.2">
      <c r="A74" s="268" t="s">
        <v>182</v>
      </c>
      <c r="B74" s="268"/>
      <c r="C74" s="281">
        <f>'resumo gastos CULTIVOS'!G6</f>
        <v>0</v>
      </c>
      <c r="D74" s="270" t="e">
        <f t="shared" ca="1" si="2"/>
        <v>#DIV/0!</v>
      </c>
      <c r="E74" s="243"/>
      <c r="F74" s="243"/>
      <c r="G74" s="623" t="s">
        <v>102</v>
      </c>
      <c r="H74" s="244"/>
      <c r="I74" s="244"/>
      <c r="J74" s="244"/>
      <c r="K74" s="244"/>
      <c r="M74" s="245"/>
      <c r="N74" s="245"/>
    </row>
    <row r="75" spans="1:14" x14ac:dyDescent="0.2">
      <c r="A75" s="268" t="s">
        <v>183</v>
      </c>
      <c r="B75" s="268"/>
      <c r="C75" s="281">
        <f>'resumo gastos CULTIVOS'!I6</f>
        <v>0</v>
      </c>
      <c r="D75" s="270" t="e">
        <f t="shared" ca="1" si="2"/>
        <v>#DIV/0!</v>
      </c>
      <c r="E75" s="243"/>
      <c r="F75" s="243"/>
      <c r="G75" s="623" t="s">
        <v>102</v>
      </c>
      <c r="H75" s="244"/>
      <c r="I75" s="244"/>
      <c r="J75" s="244"/>
      <c r="K75" s="244"/>
      <c r="M75" s="245"/>
      <c r="N75" s="245"/>
    </row>
    <row r="76" spans="1:14" x14ac:dyDescent="0.2">
      <c r="A76" s="305" t="s">
        <v>60</v>
      </c>
      <c r="B76" s="305"/>
      <c r="C76" s="264">
        <f>SUMIF(C74:C75,"&gt;0",C74:C75)</f>
        <v>0</v>
      </c>
      <c r="D76" s="270"/>
      <c r="E76" s="261">
        <f>C76</f>
        <v>0</v>
      </c>
      <c r="F76" s="243"/>
      <c r="G76" s="623" t="s">
        <v>102</v>
      </c>
      <c r="H76" s="244"/>
      <c r="I76" s="244"/>
      <c r="J76" s="244"/>
      <c r="K76" s="244"/>
      <c r="L76" s="284"/>
      <c r="M76" s="245"/>
      <c r="N76" s="245"/>
    </row>
    <row r="77" spans="1:14" x14ac:dyDescent="0.2">
      <c r="A77" s="303"/>
      <c r="B77" s="303"/>
      <c r="C77" s="281"/>
      <c r="D77" s="287"/>
      <c r="E77" s="243"/>
      <c r="F77" s="243"/>
      <c r="G77" s="623" t="s">
        <v>102</v>
      </c>
      <c r="H77" s="244"/>
      <c r="I77" s="244"/>
      <c r="J77" s="244"/>
      <c r="K77" s="244"/>
      <c r="M77" s="245"/>
      <c r="N77" s="245"/>
    </row>
    <row r="78" spans="1:14" x14ac:dyDescent="0.2">
      <c r="A78" s="415" t="s">
        <v>269</v>
      </c>
      <c r="B78" s="415"/>
      <c r="C78" s="228">
        <f ca="1">C72+C76</f>
        <v>0</v>
      </c>
      <c r="D78" s="287" t="e">
        <f t="shared" ca="1" si="2"/>
        <v>#DIV/0!</v>
      </c>
      <c r="E78" s="243"/>
      <c r="F78" s="243"/>
      <c r="G78" s="623" t="s">
        <v>102</v>
      </c>
      <c r="H78" s="244"/>
      <c r="I78" s="244"/>
      <c r="J78" s="244"/>
      <c r="K78" s="244"/>
      <c r="M78" s="245"/>
      <c r="N78" s="245"/>
    </row>
    <row r="79" spans="1:14" x14ac:dyDescent="0.2">
      <c r="A79" s="412" t="s">
        <v>171</v>
      </c>
      <c r="B79" s="412"/>
      <c r="C79" s="290"/>
      <c r="D79" s="226"/>
      <c r="E79" s="243"/>
      <c r="F79" s="243"/>
      <c r="G79" s="623" t="s">
        <v>102</v>
      </c>
      <c r="H79" s="244"/>
      <c r="I79" s="244"/>
      <c r="J79" s="244"/>
      <c r="K79" s="244"/>
      <c r="M79" s="245"/>
      <c r="N79" s="245"/>
    </row>
    <row r="80" spans="1:14" x14ac:dyDescent="0.2">
      <c r="A80" s="296" t="s">
        <v>336</v>
      </c>
      <c r="B80" s="296"/>
      <c r="C80" s="293">
        <f>PRODUÇÃO!L11</f>
        <v>0</v>
      </c>
      <c r="D80" s="226"/>
      <c r="E80" s="438"/>
      <c r="F80" s="243"/>
      <c r="G80" s="623" t="s">
        <v>102</v>
      </c>
      <c r="H80" s="244"/>
      <c r="I80" s="244"/>
      <c r="J80" s="244"/>
      <c r="K80" s="244"/>
      <c r="M80" s="245"/>
      <c r="N80" s="245"/>
    </row>
    <row r="81" spans="1:14" x14ac:dyDescent="0.2">
      <c r="A81" s="296" t="s">
        <v>337</v>
      </c>
      <c r="B81" s="296"/>
      <c r="C81" s="228" t="e">
        <f ca="1">C72/C80</f>
        <v>#DIV/0!</v>
      </c>
      <c r="D81" s="226"/>
      <c r="E81" s="61" t="e">
        <f ca="1">ROUNDUP(C81,2)</f>
        <v>#DIV/0!</v>
      </c>
      <c r="F81" s="243"/>
      <c r="G81" s="623" t="s">
        <v>102</v>
      </c>
      <c r="H81" s="244"/>
      <c r="I81" s="244"/>
      <c r="J81" s="244"/>
      <c r="K81" s="244"/>
      <c r="L81" s="308"/>
      <c r="M81" s="245"/>
      <c r="N81" s="245"/>
    </row>
    <row r="82" spans="1:14" x14ac:dyDescent="0.2">
      <c r="A82" s="296" t="s">
        <v>338</v>
      </c>
      <c r="B82" s="296"/>
      <c r="C82" s="228" t="e">
        <f ca="1">C78/C80</f>
        <v>#DIV/0!</v>
      </c>
      <c r="D82" s="226"/>
      <c r="E82" s="439"/>
      <c r="F82" s="243"/>
      <c r="G82" s="623" t="s">
        <v>102</v>
      </c>
      <c r="H82" s="244"/>
      <c r="I82" s="244"/>
      <c r="J82" s="244"/>
      <c r="K82" s="244"/>
      <c r="L82" s="308"/>
      <c r="M82" s="245"/>
      <c r="N82" s="245"/>
    </row>
    <row r="83" spans="1:14" x14ac:dyDescent="0.2">
      <c r="A83" s="296" t="s">
        <v>334</v>
      </c>
      <c r="B83" s="296"/>
      <c r="C83" s="228" t="e">
        <f ca="1">C72/SOLO!I88</f>
        <v>#DIV/0!</v>
      </c>
      <c r="D83" s="226"/>
      <c r="E83" s="307"/>
      <c r="F83" s="243"/>
      <c r="G83" s="623" t="s">
        <v>102</v>
      </c>
      <c r="H83" s="244"/>
      <c r="I83" s="244"/>
      <c r="J83" s="244"/>
      <c r="K83" s="244"/>
      <c r="L83" s="308"/>
      <c r="M83" s="245"/>
      <c r="N83" s="245"/>
    </row>
    <row r="84" spans="1:14" x14ac:dyDescent="0.2">
      <c r="A84" s="296" t="s">
        <v>335</v>
      </c>
      <c r="B84" s="296"/>
      <c r="C84" s="228" t="e">
        <f ca="1">C78/SOLO!I88</f>
        <v>#DIV/0!</v>
      </c>
      <c r="D84" s="226"/>
      <c r="E84" s="243"/>
      <c r="F84" s="243"/>
      <c r="G84" s="623" t="s">
        <v>102</v>
      </c>
      <c r="H84" s="244"/>
      <c r="I84" s="244"/>
      <c r="J84" s="244"/>
      <c r="K84" s="244"/>
      <c r="M84" s="245"/>
      <c r="N84" s="245"/>
    </row>
    <row r="85" spans="1:14" x14ac:dyDescent="0.2">
      <c r="A85" s="244"/>
      <c r="B85" s="244"/>
      <c r="C85" s="301"/>
      <c r="D85" s="244"/>
      <c r="E85" s="243"/>
      <c r="F85" s="243"/>
      <c r="G85" s="623" t="s">
        <v>102</v>
      </c>
      <c r="H85" s="244"/>
      <c r="I85" s="244"/>
      <c r="J85" s="244"/>
      <c r="K85" s="244"/>
      <c r="M85" s="245"/>
      <c r="N85" s="245"/>
    </row>
    <row r="86" spans="1:14" ht="13.5" thickBot="1" x14ac:dyDescent="0.25">
      <c r="A86" s="244"/>
      <c r="B86" s="244"/>
      <c r="C86" s="301"/>
      <c r="D86" s="244"/>
      <c r="E86" s="243"/>
      <c r="F86" s="243"/>
      <c r="G86" s="623" t="s">
        <v>102</v>
      </c>
      <c r="H86" s="244"/>
      <c r="I86" s="244"/>
      <c r="J86" s="244"/>
      <c r="K86" s="244"/>
      <c r="M86" s="245"/>
      <c r="N86" s="245"/>
    </row>
    <row r="87" spans="1:14" ht="13.5" thickBot="1" x14ac:dyDescent="0.25">
      <c r="A87" s="250" t="s">
        <v>155</v>
      </c>
      <c r="B87" s="251"/>
      <c r="C87" s="418" t="str">
        <f>PRODUÇÃO!B12</f>
        <v/>
      </c>
      <c r="D87" s="302"/>
      <c r="E87" s="243"/>
      <c r="F87" s="243"/>
      <c r="G87" s="623" t="s">
        <v>102</v>
      </c>
      <c r="H87" s="244"/>
      <c r="I87" s="244"/>
      <c r="J87" s="244"/>
      <c r="K87" s="244"/>
      <c r="M87" s="245"/>
      <c r="N87" s="245"/>
    </row>
    <row r="88" spans="1:14" ht="13.5" thickBot="1" x14ac:dyDescent="0.25">
      <c r="A88" s="3407" t="s">
        <v>179</v>
      </c>
      <c r="B88" s="3408"/>
      <c r="C88" s="3408"/>
      <c r="D88" s="3409"/>
      <c r="E88" s="243"/>
      <c r="F88" s="243"/>
      <c r="G88" s="623" t="s">
        <v>102</v>
      </c>
      <c r="H88" s="244"/>
      <c r="I88" s="244"/>
      <c r="J88" s="244"/>
      <c r="K88" s="244"/>
      <c r="M88" s="245"/>
      <c r="N88" s="245"/>
    </row>
    <row r="89" spans="1:14" x14ac:dyDescent="0.2">
      <c r="A89" s="408" t="s">
        <v>169</v>
      </c>
      <c r="B89" s="255"/>
      <c r="C89" s="256" t="s">
        <v>87</v>
      </c>
      <c r="D89" s="409" t="s">
        <v>88</v>
      </c>
      <c r="E89" s="243"/>
      <c r="F89" s="243"/>
      <c r="G89" s="623" t="s">
        <v>102</v>
      </c>
      <c r="H89" s="244"/>
      <c r="I89" s="244"/>
      <c r="J89" s="244"/>
      <c r="K89" s="244"/>
      <c r="M89" s="245"/>
      <c r="N89" s="245"/>
    </row>
    <row r="90" spans="1:14" x14ac:dyDescent="0.2">
      <c r="A90" s="412" t="s">
        <v>266</v>
      </c>
      <c r="B90" s="412"/>
      <c r="C90" s="259"/>
      <c r="D90" s="287"/>
      <c r="E90" s="243"/>
      <c r="F90" s="243"/>
      <c r="G90" s="623" t="s">
        <v>102</v>
      </c>
      <c r="H90" s="244"/>
      <c r="I90" s="244"/>
      <c r="J90" s="244"/>
      <c r="K90" s="244"/>
      <c r="M90" s="245"/>
      <c r="N90" s="245"/>
    </row>
    <row r="91" spans="1:14" x14ac:dyDescent="0.2">
      <c r="A91" s="268" t="s">
        <v>181</v>
      </c>
      <c r="B91" s="268"/>
      <c r="C91" s="259">
        <f>'resumo gastos CULTIVOS'!D7</f>
        <v>0</v>
      </c>
      <c r="D91" s="270" t="e">
        <f ca="1">C91/$C$105</f>
        <v>#DIV/0!</v>
      </c>
      <c r="E91" s="243"/>
      <c r="F91" s="243"/>
      <c r="G91" s="623" t="s">
        <v>102</v>
      </c>
      <c r="H91" s="244"/>
      <c r="I91" s="244"/>
      <c r="J91" s="244"/>
      <c r="K91" s="244"/>
      <c r="M91" s="245"/>
      <c r="N91" s="245"/>
    </row>
    <row r="92" spans="1:14" x14ac:dyDescent="0.2">
      <c r="A92" s="268" t="s">
        <v>307</v>
      </c>
      <c r="B92" s="268"/>
      <c r="C92" s="271">
        <f>'resumo gastos CULTIVOS'!E7</f>
        <v>0</v>
      </c>
      <c r="D92" s="270" t="e">
        <f ca="1">C92/$C$105</f>
        <v>#DIV/0!</v>
      </c>
      <c r="E92" s="243"/>
      <c r="F92" s="243"/>
      <c r="G92" s="623" t="s">
        <v>102</v>
      </c>
      <c r="H92" s="244"/>
      <c r="I92" s="244"/>
      <c r="J92" s="244"/>
      <c r="K92" s="244"/>
      <c r="M92" s="245"/>
      <c r="N92" s="245"/>
    </row>
    <row r="93" spans="1:14" x14ac:dyDescent="0.2">
      <c r="A93" s="304" t="s">
        <v>302</v>
      </c>
      <c r="B93" s="304"/>
      <c r="C93" s="271">
        <f>'resumo gastos CULTIVOS'!F7</f>
        <v>0</v>
      </c>
      <c r="D93" s="270" t="e">
        <f ca="1">C93/$C$105</f>
        <v>#DIV/0!</v>
      </c>
      <c r="E93" s="243"/>
      <c r="F93" s="243"/>
      <c r="G93" s="623" t="s">
        <v>102</v>
      </c>
      <c r="H93" s="244"/>
      <c r="I93" s="244"/>
      <c r="J93" s="244"/>
      <c r="K93" s="244"/>
      <c r="M93" s="245"/>
      <c r="N93" s="245"/>
    </row>
    <row r="94" spans="1:14" x14ac:dyDescent="0.2">
      <c r="A94" s="268" t="s">
        <v>308</v>
      </c>
      <c r="B94" s="268"/>
      <c r="C94" s="271">
        <f ca="1">'resumo gastos CULTIVOS'!H7</f>
        <v>0</v>
      </c>
      <c r="D94" s="270" t="e">
        <f ca="1">C94/$C$105</f>
        <v>#DIV/0!</v>
      </c>
      <c r="E94" s="243"/>
      <c r="F94" s="243"/>
      <c r="G94" s="623" t="s">
        <v>102</v>
      </c>
      <c r="H94" s="244"/>
      <c r="I94" s="244"/>
      <c r="J94" s="244"/>
      <c r="K94" s="244"/>
      <c r="M94" s="245"/>
      <c r="N94" s="245"/>
    </row>
    <row r="95" spans="1:14" x14ac:dyDescent="0.2">
      <c r="A95" s="268" t="s">
        <v>309</v>
      </c>
      <c r="B95" s="268"/>
      <c r="C95" s="271">
        <f>'resumo gastos CULTIVOS'!J7</f>
        <v>0</v>
      </c>
      <c r="D95" s="270" t="e">
        <f ca="1">C95/$C$105</f>
        <v>#DIV/0!</v>
      </c>
      <c r="E95" s="243"/>
      <c r="F95" s="243"/>
      <c r="G95" s="623" t="s">
        <v>102</v>
      </c>
      <c r="H95" s="244"/>
      <c r="I95" s="244"/>
      <c r="J95" s="244"/>
      <c r="K95" s="244"/>
      <c r="M95" s="245"/>
      <c r="N95" s="245"/>
    </row>
    <row r="96" spans="1:14" x14ac:dyDescent="0.2">
      <c r="A96" s="272" t="s">
        <v>344</v>
      </c>
      <c r="B96" s="621"/>
      <c r="C96" s="431"/>
      <c r="D96" s="270"/>
      <c r="E96" s="243"/>
      <c r="F96" s="243"/>
      <c r="G96" s="623" t="s">
        <v>102</v>
      </c>
      <c r="H96" s="244"/>
      <c r="I96" s="244"/>
      <c r="J96" s="244"/>
      <c r="K96" s="244"/>
      <c r="M96" s="245"/>
      <c r="N96" s="245"/>
    </row>
    <row r="97" spans="1:14" x14ac:dyDescent="0.2">
      <c r="A97" s="272"/>
      <c r="B97" s="430"/>
      <c r="C97" s="431"/>
      <c r="D97" s="270"/>
      <c r="E97" s="243"/>
      <c r="F97" s="243"/>
      <c r="G97" s="623" t="s">
        <v>102</v>
      </c>
      <c r="H97" s="244"/>
      <c r="I97" s="244"/>
      <c r="J97" s="244"/>
      <c r="K97" s="244"/>
      <c r="M97" s="245"/>
      <c r="N97" s="245"/>
    </row>
    <row r="98" spans="1:14" x14ac:dyDescent="0.2">
      <c r="A98" s="268"/>
      <c r="B98" s="268"/>
      <c r="C98" s="264">
        <f ca="1">SUMIF(C91:C96,"&gt;0",C91:C96)</f>
        <v>0</v>
      </c>
      <c r="D98" s="287"/>
      <c r="E98" s="243"/>
      <c r="F98" s="243"/>
      <c r="G98" s="623" t="s">
        <v>102</v>
      </c>
      <c r="H98" s="244"/>
      <c r="I98" s="244"/>
      <c r="J98" s="244"/>
      <c r="K98" s="244"/>
      <c r="M98" s="245"/>
      <c r="N98" s="245"/>
    </row>
    <row r="99" spans="1:14" x14ac:dyDescent="0.2">
      <c r="A99" s="412" t="s">
        <v>172</v>
      </c>
      <c r="B99" s="412"/>
      <c r="C99" s="259"/>
      <c r="D99" s="287" t="e">
        <f ca="1">C99/$C$105</f>
        <v>#DIV/0!</v>
      </c>
      <c r="E99" s="243"/>
      <c r="F99" s="243"/>
      <c r="G99" s="623" t="s">
        <v>102</v>
      </c>
      <c r="H99" s="244"/>
      <c r="I99" s="244"/>
      <c r="J99" s="244"/>
      <c r="K99" s="244"/>
      <c r="M99" s="245"/>
      <c r="N99" s="245"/>
    </row>
    <row r="100" spans="1:14" x14ac:dyDescent="0.2">
      <c r="A100" s="268" t="s">
        <v>182</v>
      </c>
      <c r="B100" s="268"/>
      <c r="C100" s="281">
        <f>'resumo gastos CULTIVOS'!G7</f>
        <v>0</v>
      </c>
      <c r="D100" s="287" t="e">
        <f ca="1">C100/$C$105</f>
        <v>#DIV/0!</v>
      </c>
      <c r="E100" s="243"/>
      <c r="F100" s="243"/>
      <c r="G100" s="623" t="s">
        <v>102</v>
      </c>
      <c r="H100" s="244"/>
      <c r="I100" s="244"/>
      <c r="J100" s="244"/>
      <c r="K100" s="244"/>
      <c r="M100" s="245"/>
      <c r="N100" s="245"/>
    </row>
    <row r="101" spans="1:14" x14ac:dyDescent="0.2">
      <c r="A101" s="268" t="s">
        <v>183</v>
      </c>
      <c r="B101" s="268"/>
      <c r="C101" s="281">
        <f>'resumo gastos CULTIVOS'!I7</f>
        <v>0</v>
      </c>
      <c r="D101" s="287" t="e">
        <f ca="1">C101/$C$105</f>
        <v>#DIV/0!</v>
      </c>
      <c r="E101" s="243"/>
      <c r="F101" s="243"/>
      <c r="G101" s="623" t="s">
        <v>102</v>
      </c>
      <c r="H101" s="244"/>
      <c r="I101" s="244"/>
      <c r="J101" s="244"/>
      <c r="K101" s="244"/>
      <c r="M101" s="245"/>
      <c r="N101" s="245"/>
    </row>
    <row r="102" spans="1:14" x14ac:dyDescent="0.2">
      <c r="A102" s="305" t="s">
        <v>60</v>
      </c>
      <c r="B102" s="305"/>
      <c r="C102" s="264">
        <f>SUMIF(C100:C101,"&gt;0",C100:C101)</f>
        <v>0</v>
      </c>
      <c r="D102" s="287"/>
      <c r="E102" s="261">
        <f>C102</f>
        <v>0</v>
      </c>
      <c r="F102" s="243"/>
      <c r="G102" s="623" t="s">
        <v>102</v>
      </c>
      <c r="H102" s="244"/>
      <c r="I102" s="244"/>
      <c r="J102" s="244"/>
      <c r="K102" s="244"/>
      <c r="L102" s="284"/>
      <c r="M102" s="245"/>
      <c r="N102" s="245"/>
    </row>
    <row r="103" spans="1:14" x14ac:dyDescent="0.2">
      <c r="A103" s="303"/>
      <c r="B103" s="303"/>
      <c r="C103" s="281"/>
      <c r="D103" s="287"/>
      <c r="E103" s="243"/>
      <c r="F103" s="243"/>
      <c r="G103" s="623" t="s">
        <v>102</v>
      </c>
      <c r="H103" s="244"/>
      <c r="I103" s="244"/>
      <c r="J103" s="244"/>
      <c r="K103" s="244"/>
      <c r="M103" s="245"/>
      <c r="N103" s="245"/>
    </row>
    <row r="104" spans="1:14" x14ac:dyDescent="0.2">
      <c r="A104" s="305"/>
      <c r="B104" s="305"/>
      <c r="C104" s="264"/>
      <c r="D104" s="287"/>
      <c r="E104" s="243"/>
      <c r="F104" s="243"/>
      <c r="G104" s="623" t="s">
        <v>102</v>
      </c>
      <c r="H104" s="244"/>
      <c r="I104" s="244"/>
      <c r="J104" s="244"/>
      <c r="K104" s="244"/>
      <c r="M104" s="245"/>
      <c r="N104" s="245"/>
    </row>
    <row r="105" spans="1:14" x14ac:dyDescent="0.2">
      <c r="A105" s="420" t="s">
        <v>269</v>
      </c>
      <c r="B105" s="420"/>
      <c r="C105" s="309">
        <f ca="1">C98+C102</f>
        <v>0</v>
      </c>
      <c r="D105" s="421"/>
      <c r="E105" s="243"/>
      <c r="F105" s="243"/>
      <c r="G105" s="623" t="s">
        <v>102</v>
      </c>
      <c r="H105" s="244"/>
      <c r="I105" s="244"/>
      <c r="J105" s="244"/>
      <c r="K105" s="244"/>
      <c r="M105" s="245"/>
      <c r="N105" s="245"/>
    </row>
    <row r="106" spans="1:14" x14ac:dyDescent="0.2">
      <c r="A106" s="422" t="s">
        <v>171</v>
      </c>
      <c r="B106" s="422"/>
      <c r="C106" s="310"/>
      <c r="D106" s="423"/>
      <c r="E106" s="243"/>
      <c r="F106" s="243"/>
      <c r="G106" s="623" t="s">
        <v>102</v>
      </c>
      <c r="H106" s="244"/>
      <c r="I106" s="244"/>
      <c r="J106" s="244"/>
      <c r="K106" s="244"/>
      <c r="M106" s="245"/>
      <c r="N106" s="245"/>
    </row>
    <row r="107" spans="1:14" x14ac:dyDescent="0.2">
      <c r="A107" s="312" t="s">
        <v>336</v>
      </c>
      <c r="B107" s="312"/>
      <c r="C107" s="311">
        <f>PRODUÇÃO!L12</f>
        <v>0</v>
      </c>
      <c r="D107" s="423"/>
      <c r="E107" s="438"/>
      <c r="F107" s="243"/>
      <c r="G107" s="623" t="s">
        <v>102</v>
      </c>
      <c r="H107" s="244"/>
      <c r="I107" s="244"/>
      <c r="J107" s="244"/>
      <c r="K107" s="262"/>
      <c r="M107" s="245"/>
      <c r="N107" s="245"/>
    </row>
    <row r="108" spans="1:14" x14ac:dyDescent="0.2">
      <c r="A108" s="312" t="s">
        <v>337</v>
      </c>
      <c r="B108" s="312"/>
      <c r="C108" s="310" t="e">
        <f ca="1">C98/C107</f>
        <v>#DIV/0!</v>
      </c>
      <c r="D108" s="423"/>
      <c r="E108" s="440" t="e">
        <f ca="1">ROUNDUP(C108,2)</f>
        <v>#DIV/0!</v>
      </c>
      <c r="F108" s="243"/>
      <c r="G108" s="623" t="s">
        <v>102</v>
      </c>
      <c r="H108" s="244"/>
      <c r="I108" s="244"/>
      <c r="J108" s="244"/>
      <c r="K108" s="244"/>
      <c r="M108" s="245"/>
      <c r="N108" s="245"/>
    </row>
    <row r="109" spans="1:14" x14ac:dyDescent="0.2">
      <c r="A109" s="312" t="s">
        <v>338</v>
      </c>
      <c r="B109" s="312"/>
      <c r="C109" s="310" t="e">
        <f ca="1">C105/C107</f>
        <v>#DIV/0!</v>
      </c>
      <c r="D109" s="423"/>
      <c r="E109" s="438"/>
      <c r="F109" s="243"/>
      <c r="G109" s="623" t="s">
        <v>102</v>
      </c>
      <c r="H109" s="244"/>
      <c r="I109" s="244"/>
      <c r="J109" s="244"/>
      <c r="K109" s="244"/>
      <c r="M109" s="245"/>
      <c r="N109" s="245"/>
    </row>
    <row r="110" spans="1:14" x14ac:dyDescent="0.2">
      <c r="A110" s="312" t="s">
        <v>334</v>
      </c>
      <c r="B110" s="312"/>
      <c r="C110" s="310" t="e">
        <f ca="1">C98/SOLO!J90</f>
        <v>#DIV/0!</v>
      </c>
      <c r="D110" s="423"/>
      <c r="E110" s="243"/>
      <c r="F110" s="243"/>
      <c r="G110" s="623" t="s">
        <v>102</v>
      </c>
      <c r="H110" s="244"/>
      <c r="I110" s="244"/>
      <c r="J110" s="244"/>
      <c r="K110" s="244"/>
      <c r="M110" s="245"/>
      <c r="N110" s="245"/>
    </row>
    <row r="111" spans="1:14" x14ac:dyDescent="0.2">
      <c r="A111" s="312" t="s">
        <v>335</v>
      </c>
      <c r="B111" s="312"/>
      <c r="C111" s="310" t="e">
        <f ca="1">C105/SOLO!J90</f>
        <v>#DIV/0!</v>
      </c>
      <c r="D111" s="423"/>
      <c r="E111" s="243"/>
      <c r="F111" s="243"/>
      <c r="G111" s="623" t="s">
        <v>102</v>
      </c>
      <c r="H111" s="244"/>
      <c r="I111" s="244"/>
      <c r="J111" s="244"/>
      <c r="K111" s="244"/>
      <c r="M111" s="245"/>
      <c r="N111" s="245"/>
    </row>
    <row r="112" spans="1:14" x14ac:dyDescent="0.2">
      <c r="A112" s="244"/>
      <c r="B112" s="244"/>
      <c r="C112" s="301"/>
      <c r="D112" s="244"/>
      <c r="E112" s="243"/>
      <c r="F112" s="243"/>
      <c r="G112" s="623" t="s">
        <v>102</v>
      </c>
      <c r="H112" s="244"/>
      <c r="I112" s="244"/>
      <c r="J112" s="244"/>
      <c r="K112" s="244"/>
      <c r="M112" s="245"/>
      <c r="N112" s="245"/>
    </row>
    <row r="113" spans="1:14" ht="13.5" thickBot="1" x14ac:dyDescent="0.25">
      <c r="A113" s="244"/>
      <c r="B113" s="244"/>
      <c r="C113" s="301"/>
      <c r="D113" s="244"/>
      <c r="E113" s="243"/>
      <c r="F113" s="243"/>
      <c r="G113" s="623" t="s">
        <v>102</v>
      </c>
      <c r="H113" s="244"/>
      <c r="I113" s="244"/>
      <c r="J113" s="244"/>
      <c r="K113" s="244"/>
      <c r="M113" s="245"/>
      <c r="N113" s="245"/>
    </row>
    <row r="114" spans="1:14" ht="13.5" thickBot="1" x14ac:dyDescent="0.25">
      <c r="A114" s="250" t="s">
        <v>155</v>
      </c>
      <c r="B114" s="251"/>
      <c r="C114" s="252" t="str">
        <f>PRODUÇÃO!B13</f>
        <v/>
      </c>
      <c r="D114" s="302"/>
      <c r="E114" s="243"/>
      <c r="F114" s="243"/>
      <c r="G114" s="623" t="s">
        <v>102</v>
      </c>
      <c r="H114" s="244"/>
      <c r="I114" s="244"/>
      <c r="J114" s="244"/>
      <c r="K114" s="244"/>
      <c r="M114" s="245"/>
      <c r="N114" s="245"/>
    </row>
    <row r="115" spans="1:14" ht="13.5" thickBot="1" x14ac:dyDescent="0.25">
      <c r="A115" s="3407" t="s">
        <v>179</v>
      </c>
      <c r="B115" s="3408"/>
      <c r="C115" s="3408"/>
      <c r="D115" s="3409"/>
      <c r="E115" s="243"/>
      <c r="F115" s="243"/>
      <c r="G115" s="623" t="s">
        <v>102</v>
      </c>
      <c r="H115" s="244"/>
      <c r="I115" s="244"/>
      <c r="J115" s="244"/>
      <c r="K115" s="244"/>
      <c r="M115" s="245"/>
      <c r="N115" s="245"/>
    </row>
    <row r="116" spans="1:14" ht="13.5" thickBot="1" x14ac:dyDescent="0.25">
      <c r="A116" s="254" t="s">
        <v>169</v>
      </c>
      <c r="B116" s="255"/>
      <c r="C116" s="256" t="s">
        <v>87</v>
      </c>
      <c r="D116" s="257" t="s">
        <v>88</v>
      </c>
      <c r="E116" s="243"/>
      <c r="F116" s="243"/>
      <c r="G116" s="623" t="s">
        <v>102</v>
      </c>
      <c r="H116" s="244"/>
      <c r="I116" s="244"/>
      <c r="J116" s="244"/>
      <c r="K116" s="244"/>
      <c r="M116" s="245"/>
      <c r="N116" s="245"/>
    </row>
    <row r="117" spans="1:14" x14ac:dyDescent="0.2">
      <c r="A117" s="313" t="s">
        <v>266</v>
      </c>
      <c r="B117" s="314"/>
      <c r="C117" s="267"/>
      <c r="D117" s="260"/>
      <c r="E117" s="243"/>
      <c r="F117" s="243"/>
      <c r="G117" s="623" t="s">
        <v>102</v>
      </c>
      <c r="H117" s="244"/>
      <c r="I117" s="244"/>
      <c r="J117" s="244"/>
      <c r="K117" s="244"/>
      <c r="M117" s="245"/>
      <c r="N117" s="245"/>
    </row>
    <row r="118" spans="1:14" x14ac:dyDescent="0.2">
      <c r="A118" s="315" t="s">
        <v>181</v>
      </c>
      <c r="B118" s="315"/>
      <c r="C118" s="259">
        <f>'resumo gastos CULTIVOS'!D8</f>
        <v>0</v>
      </c>
      <c r="D118" s="287" t="e">
        <f ca="1">C118/$C$131</f>
        <v>#DIV/0!</v>
      </c>
      <c r="E118" s="243"/>
      <c r="F118" s="243"/>
      <c r="G118" s="623" t="s">
        <v>102</v>
      </c>
      <c r="H118" s="244"/>
      <c r="I118" s="244"/>
      <c r="J118" s="244"/>
      <c r="K118" s="244"/>
      <c r="M118" s="245"/>
      <c r="N118" s="245"/>
    </row>
    <row r="119" spans="1:14" x14ac:dyDescent="0.2">
      <c r="A119" s="268" t="s">
        <v>307</v>
      </c>
      <c r="B119" s="268"/>
      <c r="C119" s="271">
        <f>'resumo gastos CULTIVOS'!E8</f>
        <v>0</v>
      </c>
      <c r="D119" s="287" t="e">
        <f ca="1">C119/$C$131</f>
        <v>#DIV/0!</v>
      </c>
      <c r="E119" s="243"/>
      <c r="F119" s="243"/>
      <c r="G119" s="623" t="s">
        <v>102</v>
      </c>
      <c r="H119" s="244"/>
      <c r="I119" s="244"/>
      <c r="J119" s="244"/>
      <c r="K119" s="244"/>
      <c r="M119" s="245"/>
      <c r="N119" s="245"/>
    </row>
    <row r="120" spans="1:14" x14ac:dyDescent="0.2">
      <c r="A120" s="304" t="s">
        <v>302</v>
      </c>
      <c r="B120" s="304"/>
      <c r="C120" s="271">
        <f>'resumo gastos CULTIVOS'!F8</f>
        <v>0</v>
      </c>
      <c r="D120" s="287"/>
      <c r="E120" s="243"/>
      <c r="F120" s="243"/>
      <c r="G120" s="623" t="s">
        <v>102</v>
      </c>
      <c r="H120" s="244"/>
      <c r="I120" s="244"/>
      <c r="J120" s="244"/>
      <c r="K120" s="244"/>
      <c r="M120" s="245"/>
      <c r="N120" s="245"/>
    </row>
    <row r="121" spans="1:14" x14ac:dyDescent="0.2">
      <c r="A121" s="268" t="s">
        <v>308</v>
      </c>
      <c r="B121" s="268"/>
      <c r="C121" s="271">
        <f ca="1">'resumo gastos CULTIVOS'!H8</f>
        <v>0</v>
      </c>
      <c r="D121" s="287"/>
      <c r="E121" s="243"/>
      <c r="F121" s="243"/>
      <c r="G121" s="623" t="s">
        <v>102</v>
      </c>
      <c r="H121" s="244"/>
      <c r="I121" s="244"/>
      <c r="J121" s="244"/>
      <c r="K121" s="244"/>
      <c r="M121" s="245"/>
      <c r="N121" s="245"/>
    </row>
    <row r="122" spans="1:14" x14ac:dyDescent="0.2">
      <c r="A122" s="268" t="s">
        <v>309</v>
      </c>
      <c r="B122" s="268"/>
      <c r="C122" s="271">
        <f>'resumo gastos CULTIVOS'!J8</f>
        <v>0</v>
      </c>
      <c r="D122" s="287"/>
      <c r="E122" s="243"/>
      <c r="F122" s="243"/>
      <c r="G122" s="623" t="s">
        <v>102</v>
      </c>
      <c r="H122" s="244"/>
      <c r="I122" s="244"/>
      <c r="J122" s="244"/>
      <c r="K122" s="244"/>
      <c r="M122" s="245"/>
      <c r="N122" s="245"/>
    </row>
    <row r="123" spans="1:14" x14ac:dyDescent="0.2">
      <c r="A123" s="268"/>
      <c r="B123" s="621"/>
      <c r="C123" s="431"/>
      <c r="D123" s="287"/>
      <c r="E123" s="243"/>
      <c r="F123" s="243"/>
      <c r="G123" s="623" t="s">
        <v>102</v>
      </c>
      <c r="H123" s="244"/>
      <c r="I123" s="244"/>
      <c r="J123" s="244"/>
      <c r="K123" s="244"/>
      <c r="M123" s="245"/>
      <c r="N123" s="245"/>
    </row>
    <row r="124" spans="1:14" x14ac:dyDescent="0.2">
      <c r="A124" s="268"/>
      <c r="B124" s="430"/>
      <c r="C124" s="431"/>
      <c r="D124" s="287"/>
      <c r="E124" s="243"/>
      <c r="F124" s="243"/>
      <c r="G124" s="623" t="s">
        <v>102</v>
      </c>
      <c r="H124" s="244"/>
      <c r="I124" s="244"/>
      <c r="J124" s="244"/>
      <c r="K124" s="244"/>
      <c r="M124" s="245"/>
      <c r="N124" s="245"/>
    </row>
    <row r="125" spans="1:14" x14ac:dyDescent="0.2">
      <c r="A125" s="268"/>
      <c r="B125" s="315"/>
      <c r="C125" s="264">
        <f ca="1">SUMIF(C118:C123,"&gt;0",C118:C123)</f>
        <v>0</v>
      </c>
      <c r="D125" s="287"/>
      <c r="E125" s="243"/>
      <c r="F125" s="243"/>
      <c r="G125" s="623" t="s">
        <v>102</v>
      </c>
      <c r="H125" s="244"/>
      <c r="I125" s="244"/>
      <c r="J125" s="244"/>
      <c r="K125" s="244"/>
      <c r="M125" s="245"/>
      <c r="N125" s="245"/>
    </row>
    <row r="126" spans="1:14" x14ac:dyDescent="0.2">
      <c r="A126" s="412" t="s">
        <v>172</v>
      </c>
      <c r="B126" s="412"/>
      <c r="C126" s="259"/>
      <c r="D126" s="287"/>
      <c r="E126" s="243"/>
      <c r="F126" s="243"/>
      <c r="G126" s="623" t="s">
        <v>102</v>
      </c>
      <c r="H126" s="244"/>
      <c r="I126" s="244"/>
      <c r="J126" s="244"/>
      <c r="K126" s="244"/>
      <c r="M126" s="245"/>
      <c r="N126" s="245"/>
    </row>
    <row r="127" spans="1:14" x14ac:dyDescent="0.2">
      <c r="A127" s="268" t="s">
        <v>182</v>
      </c>
      <c r="B127" s="268"/>
      <c r="C127" s="281">
        <f>'resumo gastos CULTIVOS'!G8</f>
        <v>0</v>
      </c>
      <c r="D127" s="287" t="e">
        <f ca="1">C127/$C$131</f>
        <v>#DIV/0!</v>
      </c>
      <c r="E127" s="243"/>
      <c r="F127" s="243"/>
      <c r="G127" s="623" t="s">
        <v>102</v>
      </c>
      <c r="H127" s="244"/>
      <c r="I127" s="244"/>
      <c r="J127" s="244"/>
      <c r="K127" s="244"/>
      <c r="M127" s="245"/>
      <c r="N127" s="245"/>
    </row>
    <row r="128" spans="1:14" x14ac:dyDescent="0.2">
      <c r="A128" s="268" t="s">
        <v>183</v>
      </c>
      <c r="B128" s="268"/>
      <c r="C128" s="281">
        <f>'resumo gastos CULTIVOS'!I8</f>
        <v>0</v>
      </c>
      <c r="D128" s="287" t="e">
        <f ca="1">C128/$C$131</f>
        <v>#DIV/0!</v>
      </c>
      <c r="E128" s="243"/>
      <c r="F128" s="243"/>
      <c r="G128" s="623" t="s">
        <v>102</v>
      </c>
      <c r="H128" s="244"/>
      <c r="I128" s="244"/>
      <c r="J128" s="244"/>
      <c r="K128" s="244"/>
      <c r="M128" s="245"/>
      <c r="N128" s="245"/>
    </row>
    <row r="129" spans="1:14" x14ac:dyDescent="0.2">
      <c r="A129" s="305" t="s">
        <v>60</v>
      </c>
      <c r="B129" s="305"/>
      <c r="C129" s="264">
        <f>SUMIF(C127:C128,"&gt;0",C127:C128)</f>
        <v>0</v>
      </c>
      <c r="D129" s="287"/>
      <c r="E129" s="261">
        <f>C129</f>
        <v>0</v>
      </c>
      <c r="F129" s="243"/>
      <c r="G129" s="623" t="s">
        <v>102</v>
      </c>
      <c r="H129" s="244"/>
      <c r="I129" s="244"/>
      <c r="J129" s="244"/>
      <c r="K129" s="244"/>
      <c r="L129" s="284"/>
      <c r="M129" s="245"/>
      <c r="N129" s="245"/>
    </row>
    <row r="130" spans="1:14" x14ac:dyDescent="0.2">
      <c r="A130" s="414"/>
      <c r="B130" s="414"/>
      <c r="C130" s="228"/>
      <c r="D130" s="287"/>
      <c r="E130" s="243"/>
      <c r="F130" s="243"/>
      <c r="G130" s="623" t="s">
        <v>102</v>
      </c>
      <c r="H130" s="244"/>
      <c r="I130" s="244"/>
      <c r="J130" s="244"/>
      <c r="K130" s="244"/>
      <c r="M130" s="245"/>
      <c r="N130" s="245"/>
    </row>
    <row r="131" spans="1:14" x14ac:dyDescent="0.2">
      <c r="A131" s="415" t="s">
        <v>269</v>
      </c>
      <c r="B131" s="415"/>
      <c r="C131" s="228">
        <f ca="1">C125+C129</f>
        <v>0</v>
      </c>
      <c r="D131" s="287" t="e">
        <f ca="1">C131/$C$131</f>
        <v>#DIV/0!</v>
      </c>
      <c r="E131" s="243"/>
      <c r="F131" s="243"/>
      <c r="G131" s="623" t="s">
        <v>102</v>
      </c>
      <c r="H131" s="244"/>
      <c r="I131" s="244"/>
      <c r="J131" s="244"/>
      <c r="K131" s="244"/>
      <c r="M131" s="245"/>
      <c r="N131" s="245"/>
    </row>
    <row r="132" spans="1:14" x14ac:dyDescent="0.2">
      <c r="A132" s="412" t="s">
        <v>171</v>
      </c>
      <c r="B132" s="412"/>
      <c r="C132" s="290"/>
      <c r="D132" s="226"/>
      <c r="E132" s="243"/>
      <c r="F132" s="243"/>
      <c r="G132" s="623" t="s">
        <v>102</v>
      </c>
      <c r="H132" s="244"/>
      <c r="I132" s="244"/>
      <c r="J132" s="244"/>
      <c r="K132" s="244"/>
      <c r="M132" s="245"/>
      <c r="N132" s="245"/>
    </row>
    <row r="133" spans="1:14" x14ac:dyDescent="0.2">
      <c r="A133" s="296" t="s">
        <v>336</v>
      </c>
      <c r="B133" s="296"/>
      <c r="C133" s="316">
        <f>PRODUÇÃO!L13</f>
        <v>0</v>
      </c>
      <c r="D133" s="226"/>
      <c r="E133" s="438"/>
      <c r="F133" s="243"/>
      <c r="G133" s="623" t="s">
        <v>102</v>
      </c>
      <c r="H133" s="244"/>
      <c r="I133" s="244"/>
      <c r="J133" s="244"/>
      <c r="K133" s="244"/>
      <c r="M133" s="245"/>
      <c r="N133" s="245"/>
    </row>
    <row r="134" spans="1:14" x14ac:dyDescent="0.2">
      <c r="A134" s="296" t="s">
        <v>337</v>
      </c>
      <c r="B134" s="296"/>
      <c r="C134" s="290" t="e">
        <f ca="1">C125/C133</f>
        <v>#DIV/0!</v>
      </c>
      <c r="D134" s="226"/>
      <c r="E134" s="440" t="e">
        <f ca="1">ROUNDUP(C134,2)</f>
        <v>#DIV/0!</v>
      </c>
      <c r="F134" s="243"/>
      <c r="G134" s="623" t="s">
        <v>102</v>
      </c>
      <c r="H134" s="244"/>
      <c r="I134" s="244"/>
      <c r="J134" s="244"/>
      <c r="K134" s="244"/>
      <c r="M134" s="245"/>
      <c r="N134" s="245"/>
    </row>
    <row r="135" spans="1:14" x14ac:dyDescent="0.2">
      <c r="A135" s="296" t="s">
        <v>338</v>
      </c>
      <c r="B135" s="296"/>
      <c r="C135" s="227" t="e">
        <f ca="1">C131/C133</f>
        <v>#DIV/0!</v>
      </c>
      <c r="D135" s="226"/>
      <c r="E135" s="438"/>
      <c r="F135" s="243"/>
      <c r="G135" s="623" t="s">
        <v>102</v>
      </c>
      <c r="H135" s="244"/>
      <c r="I135" s="244"/>
      <c r="J135" s="244"/>
      <c r="K135" s="244"/>
      <c r="M135" s="245"/>
      <c r="N135" s="245"/>
    </row>
    <row r="136" spans="1:14" x14ac:dyDescent="0.2">
      <c r="A136" s="296" t="s">
        <v>334</v>
      </c>
      <c r="B136" s="296"/>
      <c r="C136" s="290" t="e">
        <f ca="1">C125/SOLO!J91</f>
        <v>#DIV/0!</v>
      </c>
      <c r="D136" s="226"/>
      <c r="E136" s="243"/>
      <c r="F136" s="243"/>
      <c r="G136" s="623" t="s">
        <v>102</v>
      </c>
      <c r="H136" s="244"/>
      <c r="I136" s="244"/>
      <c r="J136" s="244"/>
      <c r="K136" s="244"/>
      <c r="M136" s="245"/>
      <c r="N136" s="245"/>
    </row>
    <row r="137" spans="1:14" x14ac:dyDescent="0.2">
      <c r="A137" s="296" t="s">
        <v>335</v>
      </c>
      <c r="B137" s="296"/>
      <c r="C137" s="227" t="e">
        <f ca="1">C131/SOLO!J91</f>
        <v>#DIV/0!</v>
      </c>
      <c r="D137" s="226"/>
      <c r="E137" s="243"/>
      <c r="F137" s="243"/>
      <c r="G137" s="623" t="s">
        <v>102</v>
      </c>
      <c r="H137" s="244"/>
      <c r="I137" s="244"/>
      <c r="J137" s="244"/>
      <c r="K137" s="244"/>
      <c r="M137" s="245"/>
      <c r="N137" s="245"/>
    </row>
    <row r="138" spans="1:14" ht="13.5" thickBot="1" x14ac:dyDescent="0.25">
      <c r="A138" s="244"/>
      <c r="B138" s="244"/>
      <c r="C138" s="301"/>
      <c r="D138" s="244"/>
      <c r="E138" s="243"/>
      <c r="F138" s="243"/>
      <c r="G138" s="623" t="s">
        <v>102</v>
      </c>
      <c r="H138" s="244"/>
      <c r="I138" s="244"/>
      <c r="J138" s="244"/>
      <c r="K138" s="244"/>
      <c r="M138" s="245"/>
      <c r="N138" s="245"/>
    </row>
    <row r="139" spans="1:14" ht="13.5" thickBot="1" x14ac:dyDescent="0.25">
      <c r="A139" s="250" t="s">
        <v>155</v>
      </c>
      <c r="B139" s="251"/>
      <c r="C139" s="252" t="str">
        <f>PRODUÇÃO!B82</f>
        <v>SUINOS</v>
      </c>
      <c r="D139" s="302"/>
      <c r="E139" s="243"/>
      <c r="F139" s="243"/>
      <c r="G139" s="623" t="s">
        <v>102</v>
      </c>
      <c r="H139" s="244"/>
      <c r="I139" s="244"/>
      <c r="J139" s="244"/>
      <c r="K139" s="244"/>
      <c r="M139" s="245"/>
      <c r="N139" s="245"/>
    </row>
    <row r="140" spans="1:14" ht="13.5" thickBot="1" x14ac:dyDescent="0.25">
      <c r="A140" s="3407" t="s">
        <v>179</v>
      </c>
      <c r="B140" s="3408"/>
      <c r="C140" s="3408"/>
      <c r="D140" s="3409"/>
      <c r="E140" s="243"/>
      <c r="F140" s="243"/>
      <c r="G140" s="623" t="s">
        <v>102</v>
      </c>
      <c r="H140" s="244"/>
      <c r="I140" s="244"/>
      <c r="J140" s="244"/>
      <c r="K140" s="244"/>
      <c r="M140" s="245"/>
      <c r="N140" s="245"/>
    </row>
    <row r="141" spans="1:14" ht="13.5" thickBot="1" x14ac:dyDescent="0.25">
      <c r="A141" s="254" t="s">
        <v>169</v>
      </c>
      <c r="B141" s="255"/>
      <c r="C141" s="256" t="s">
        <v>87</v>
      </c>
      <c r="D141" s="257" t="s">
        <v>88</v>
      </c>
      <c r="E141" s="243"/>
      <c r="F141" s="243"/>
      <c r="G141" s="623" t="s">
        <v>102</v>
      </c>
      <c r="H141" s="244"/>
      <c r="I141" s="244"/>
      <c r="J141" s="244"/>
      <c r="K141" s="244"/>
      <c r="M141" s="245"/>
      <c r="N141" s="245"/>
    </row>
    <row r="142" spans="1:14" x14ac:dyDescent="0.2">
      <c r="A142" s="265" t="s">
        <v>266</v>
      </c>
      <c r="B142" s="266"/>
      <c r="C142" s="267"/>
      <c r="D142" s="260"/>
      <c r="E142" s="243"/>
      <c r="F142" s="243"/>
      <c r="G142" s="623" t="s">
        <v>102</v>
      </c>
      <c r="H142" s="244"/>
      <c r="I142" s="244"/>
      <c r="J142" s="244"/>
      <c r="K142" s="262"/>
      <c r="M142" s="245"/>
      <c r="N142" s="245"/>
    </row>
    <row r="143" spans="1:14" x14ac:dyDescent="0.2">
      <c r="A143" s="317" t="s">
        <v>346</v>
      </c>
      <c r="B143" s="317"/>
      <c r="C143" s="259">
        <f ca="1">'resumo gastos CULTIVOS'!D75+'resumo gastos CULTIVOS'!E75+'resumo gastos CULTIVOS'!F75+'resumo gastos CULTIVOS'!H75+'resumo gastos CULTIVOS'!J75+'resumo gastos CULTIVOS'!L75</f>
        <v>0</v>
      </c>
      <c r="D143" s="287" t="e">
        <f ca="1">C143/$C$159</f>
        <v>#DIV/0!</v>
      </c>
      <c r="E143" s="243"/>
      <c r="F143" s="243"/>
      <c r="G143" s="623" t="s">
        <v>102</v>
      </c>
      <c r="H143" s="244"/>
      <c r="I143" s="244"/>
      <c r="J143" s="244"/>
      <c r="K143" s="262"/>
      <c r="M143" s="245"/>
      <c r="N143" s="245"/>
    </row>
    <row r="144" spans="1:14" x14ac:dyDescent="0.2">
      <c r="A144" s="318" t="s">
        <v>310</v>
      </c>
      <c r="B144" s="318"/>
      <c r="C144" s="259">
        <f>'A. DESPESAS (Outras)'!E19</f>
        <v>0</v>
      </c>
      <c r="D144" s="287" t="e">
        <f t="shared" ref="D144:D159" ca="1" si="3">C144/$C$159</f>
        <v>#DIV/0!</v>
      </c>
      <c r="E144" s="243"/>
      <c r="F144" s="243"/>
      <c r="G144" s="623" t="s">
        <v>102</v>
      </c>
      <c r="H144" s="244"/>
      <c r="I144" s="244"/>
      <c r="J144" s="244"/>
      <c r="K144" s="262"/>
      <c r="M144" s="245"/>
      <c r="N144" s="245"/>
    </row>
    <row r="145" spans="1:14" x14ac:dyDescent="0.2">
      <c r="A145" s="318" t="s">
        <v>322</v>
      </c>
      <c r="B145" s="318"/>
      <c r="C145" s="259">
        <f>'A. DESPESAS (Outras)'!F28</f>
        <v>0</v>
      </c>
      <c r="D145" s="287" t="e">
        <f t="shared" ca="1" si="3"/>
        <v>#DIV/0!</v>
      </c>
      <c r="E145" s="243"/>
      <c r="F145" s="243"/>
      <c r="G145" s="623" t="s">
        <v>102</v>
      </c>
      <c r="H145" s="244"/>
      <c r="I145" s="244"/>
      <c r="J145" s="244"/>
      <c r="K145" s="262"/>
      <c r="M145" s="245"/>
      <c r="N145" s="245"/>
    </row>
    <row r="146" spans="1:14" x14ac:dyDescent="0.2">
      <c r="A146" s="304" t="s">
        <v>323</v>
      </c>
      <c r="B146" s="304"/>
      <c r="C146" s="259">
        <f>'OUTROS CUSTOS'!D15</f>
        <v>0</v>
      </c>
      <c r="D146" s="287" t="e">
        <f t="shared" ca="1" si="3"/>
        <v>#DIV/0!</v>
      </c>
      <c r="E146" s="243"/>
      <c r="F146" s="243"/>
      <c r="G146" s="623" t="s">
        <v>102</v>
      </c>
      <c r="H146" s="244"/>
      <c r="I146" s="244"/>
      <c r="J146" s="244"/>
      <c r="K146" s="262"/>
      <c r="M146" s="245"/>
      <c r="N146" s="245"/>
    </row>
    <row r="147" spans="1:14" x14ac:dyDescent="0.2">
      <c r="A147" s="317" t="s">
        <v>324</v>
      </c>
      <c r="B147" s="317"/>
      <c r="C147" s="259">
        <f>'H. proces. caseiro alimentos'!F20</f>
        <v>0</v>
      </c>
      <c r="D147" s="287" t="e">
        <f t="shared" ca="1" si="3"/>
        <v>#DIV/0!</v>
      </c>
      <c r="E147" s="243"/>
      <c r="F147" s="243"/>
      <c r="G147" s="623" t="s">
        <v>102</v>
      </c>
      <c r="H147" s="244"/>
      <c r="I147" s="244"/>
      <c r="J147" s="244"/>
      <c r="K147" s="262"/>
      <c r="M147" s="245"/>
      <c r="N147" s="245"/>
    </row>
    <row r="148" spans="1:14" x14ac:dyDescent="0.2">
      <c r="A148" s="268" t="s">
        <v>311</v>
      </c>
      <c r="B148" s="268"/>
      <c r="C148" s="271">
        <f>M.oBRA!D44</f>
        <v>0</v>
      </c>
      <c r="D148" s="287" t="e">
        <f t="shared" ca="1" si="3"/>
        <v>#DIV/0!</v>
      </c>
      <c r="E148" s="243"/>
      <c r="F148" s="243"/>
      <c r="G148" s="623" t="s">
        <v>102</v>
      </c>
      <c r="H148" s="244"/>
      <c r="I148" s="244"/>
      <c r="J148" s="244"/>
      <c r="K148" s="262"/>
      <c r="M148" s="245"/>
      <c r="N148" s="245"/>
    </row>
    <row r="149" spans="1:14" x14ac:dyDescent="0.2">
      <c r="A149" s="268" t="s">
        <v>325</v>
      </c>
      <c r="B149" s="268"/>
      <c r="C149" s="319">
        <f ca="1">'C. MÁQ.'!D49</f>
        <v>0</v>
      </c>
      <c r="D149" s="287" t="e">
        <f t="shared" ca="1" si="3"/>
        <v>#DIV/0!</v>
      </c>
      <c r="E149" s="243"/>
      <c r="F149" s="243"/>
      <c r="G149" s="623" t="s">
        <v>102</v>
      </c>
      <c r="H149" s="244"/>
      <c r="I149" s="244"/>
      <c r="J149" s="244"/>
      <c r="K149" s="262"/>
      <c r="M149" s="245"/>
      <c r="N149" s="245"/>
    </row>
    <row r="150" spans="1:14" x14ac:dyDescent="0.2">
      <c r="A150" s="268" t="s">
        <v>326</v>
      </c>
      <c r="B150" s="268"/>
      <c r="C150" s="319">
        <f>'D. INSTAL.'!D46</f>
        <v>0</v>
      </c>
      <c r="D150" s="287" t="e">
        <f t="shared" ca="1" si="3"/>
        <v>#DIV/0!</v>
      </c>
      <c r="E150" s="243"/>
      <c r="F150" s="243"/>
      <c r="G150" s="623" t="s">
        <v>102</v>
      </c>
      <c r="H150" s="244"/>
      <c r="I150" s="244"/>
      <c r="J150" s="244"/>
      <c r="K150" s="262"/>
      <c r="M150" s="245"/>
      <c r="N150" s="245"/>
    </row>
    <row r="151" spans="1:14" x14ac:dyDescent="0.2">
      <c r="A151" s="318"/>
      <c r="B151" s="318"/>
      <c r="C151" s="319"/>
      <c r="D151" s="287" t="e">
        <f t="shared" ca="1" si="3"/>
        <v>#DIV/0!</v>
      </c>
      <c r="E151" s="243"/>
      <c r="F151" s="243"/>
      <c r="G151" s="623" t="s">
        <v>102</v>
      </c>
      <c r="H151" s="244"/>
      <c r="I151" s="244"/>
      <c r="J151" s="244"/>
      <c r="K151" s="262"/>
      <c r="M151" s="245"/>
      <c r="N151" s="245"/>
    </row>
    <row r="152" spans="1:14" x14ac:dyDescent="0.2">
      <c r="A152" s="318"/>
      <c r="B152" s="318"/>
      <c r="C152" s="264">
        <f ca="1">SUMIF(C143:C151,"&gt;0",C143:C151)</f>
        <v>0</v>
      </c>
      <c r="D152" s="287"/>
      <c r="E152" s="243"/>
      <c r="F152" s="243"/>
      <c r="G152" s="623" t="s">
        <v>102</v>
      </c>
      <c r="H152" s="244"/>
      <c r="I152" s="244"/>
      <c r="J152" s="244"/>
      <c r="K152" s="262"/>
      <c r="M152" s="245"/>
      <c r="N152" s="245"/>
    </row>
    <row r="153" spans="1:14" x14ac:dyDescent="0.2">
      <c r="A153" s="412" t="s">
        <v>172</v>
      </c>
      <c r="B153" s="412"/>
      <c r="C153" s="259"/>
      <c r="D153" s="287" t="e">
        <f t="shared" ca="1" si="3"/>
        <v>#DIV/0!</v>
      </c>
      <c r="E153" s="243"/>
      <c r="F153" s="243"/>
      <c r="G153" s="623" t="s">
        <v>102</v>
      </c>
      <c r="H153" s="244"/>
      <c r="I153" s="244"/>
      <c r="J153" s="244"/>
      <c r="K153" s="244"/>
      <c r="M153" s="245"/>
      <c r="N153" s="245"/>
    </row>
    <row r="154" spans="1:14" x14ac:dyDescent="0.2">
      <c r="A154" s="268" t="s">
        <v>319</v>
      </c>
      <c r="B154" s="268"/>
      <c r="C154" s="281">
        <f>'resumo gastos CULTIVOS'!G75</f>
        <v>0</v>
      </c>
      <c r="D154" s="287" t="e">
        <f t="shared" ca="1" si="3"/>
        <v>#DIV/0!</v>
      </c>
      <c r="E154" s="243"/>
      <c r="F154" s="243"/>
      <c r="G154" s="623" t="s">
        <v>102</v>
      </c>
      <c r="H154" s="244"/>
      <c r="I154" s="244"/>
      <c r="J154" s="244"/>
      <c r="K154" s="244"/>
      <c r="M154" s="245"/>
      <c r="N154" s="245"/>
    </row>
    <row r="155" spans="1:14" x14ac:dyDescent="0.2">
      <c r="A155" s="268" t="s">
        <v>318</v>
      </c>
      <c r="B155" s="268"/>
      <c r="C155" s="281">
        <f>'resumo gastos CULTIVOS'!J75</f>
        <v>0</v>
      </c>
      <c r="D155" s="287" t="e">
        <f t="shared" ca="1" si="3"/>
        <v>#DIV/0!</v>
      </c>
      <c r="E155" s="243"/>
      <c r="F155" s="243"/>
      <c r="G155" s="623" t="s">
        <v>102</v>
      </c>
      <c r="H155" s="244"/>
      <c r="I155" s="244"/>
      <c r="J155" s="244"/>
      <c r="K155" s="244"/>
      <c r="M155" s="245"/>
      <c r="N155" s="245"/>
    </row>
    <row r="156" spans="1:14" x14ac:dyDescent="0.2">
      <c r="A156" s="424" t="s">
        <v>339</v>
      </c>
      <c r="B156" s="424"/>
      <c r="C156" s="264">
        <f>'C. MÁQ.'!D48+'D. INSTAL.'!D45</f>
        <v>0</v>
      </c>
      <c r="D156" s="287" t="e">
        <f t="shared" ca="1" si="3"/>
        <v>#DIV/0!</v>
      </c>
      <c r="E156" s="243"/>
      <c r="F156" s="243"/>
      <c r="G156" s="623" t="s">
        <v>102</v>
      </c>
      <c r="H156" s="244"/>
      <c r="I156" s="244"/>
      <c r="J156" s="244"/>
      <c r="K156" s="244"/>
      <c r="M156" s="245"/>
      <c r="N156" s="245"/>
    </row>
    <row r="157" spans="1:14" x14ac:dyDescent="0.2">
      <c r="A157" s="305" t="s">
        <v>184</v>
      </c>
      <c r="B157" s="305"/>
      <c r="C157" s="264">
        <f>SUMIF(C154:C156,"&gt;0",C154:C156)</f>
        <v>0</v>
      </c>
      <c r="D157" s="287"/>
      <c r="E157" s="261">
        <f>C157</f>
        <v>0</v>
      </c>
      <c r="F157" s="243"/>
      <c r="G157" s="623" t="s">
        <v>102</v>
      </c>
      <c r="H157" s="244"/>
      <c r="I157" s="244"/>
      <c r="J157" s="244"/>
      <c r="K157" s="244"/>
      <c r="L157" s="284"/>
      <c r="M157" s="245"/>
      <c r="N157" s="245"/>
    </row>
    <row r="158" spans="1:14" x14ac:dyDescent="0.2">
      <c r="A158" s="414"/>
      <c r="B158" s="414"/>
      <c r="C158" s="228"/>
      <c r="D158" s="287" t="e">
        <f t="shared" ca="1" si="3"/>
        <v>#DIV/0!</v>
      </c>
      <c r="E158" s="243"/>
      <c r="F158" s="243"/>
      <c r="G158" s="623" t="s">
        <v>102</v>
      </c>
      <c r="H158" s="244"/>
      <c r="I158" s="244"/>
      <c r="J158" s="244"/>
      <c r="K158" s="244"/>
      <c r="M158" s="245"/>
      <c r="N158" s="245"/>
    </row>
    <row r="159" spans="1:14" x14ac:dyDescent="0.2">
      <c r="A159" s="415" t="s">
        <v>269</v>
      </c>
      <c r="B159" s="415"/>
      <c r="C159" s="228">
        <f ca="1">C152+C157</f>
        <v>0</v>
      </c>
      <c r="D159" s="287" t="e">
        <f t="shared" ca="1" si="3"/>
        <v>#DIV/0!</v>
      </c>
      <c r="E159" s="243"/>
      <c r="F159" s="243"/>
      <c r="G159" s="623" t="s">
        <v>102</v>
      </c>
      <c r="H159" s="244"/>
      <c r="I159" s="244"/>
      <c r="J159" s="244"/>
      <c r="K159" s="244"/>
      <c r="M159" s="245"/>
      <c r="N159" s="245"/>
    </row>
    <row r="160" spans="1:14" x14ac:dyDescent="0.2">
      <c r="A160" s="412" t="s">
        <v>171</v>
      </c>
      <c r="B160" s="412"/>
      <c r="C160" s="290"/>
      <c r="D160" s="226"/>
      <c r="E160" s="243"/>
      <c r="F160" s="243"/>
      <c r="G160" s="623" t="s">
        <v>102</v>
      </c>
      <c r="H160" s="244"/>
      <c r="I160" s="244"/>
      <c r="J160" s="244"/>
      <c r="K160" s="244"/>
      <c r="M160" s="245"/>
      <c r="N160" s="245"/>
    </row>
    <row r="161" spans="1:14" x14ac:dyDescent="0.2">
      <c r="A161" s="296" t="s">
        <v>340</v>
      </c>
      <c r="B161" s="296"/>
      <c r="C161" s="293">
        <f>PRODUÇÃO!E82</f>
        <v>0</v>
      </c>
      <c r="D161" s="226"/>
      <c r="E161" s="243"/>
      <c r="F161" s="243"/>
      <c r="G161" s="623" t="s">
        <v>102</v>
      </c>
      <c r="H161" s="244"/>
      <c r="I161" s="244"/>
      <c r="J161" s="244"/>
      <c r="K161" s="244"/>
      <c r="M161" s="245"/>
      <c r="N161" s="245"/>
    </row>
    <row r="162" spans="1:14" x14ac:dyDescent="0.2">
      <c r="A162" s="296" t="s">
        <v>337</v>
      </c>
      <c r="B162" s="296"/>
      <c r="C162" s="228" t="e">
        <f ca="1">C152/C161</f>
        <v>#DIV/0!</v>
      </c>
      <c r="D162" s="226"/>
      <c r="E162" s="243"/>
      <c r="F162" s="243"/>
      <c r="G162" s="623" t="s">
        <v>102</v>
      </c>
      <c r="H162" s="244"/>
      <c r="I162" s="244"/>
      <c r="J162" s="244"/>
      <c r="K162" s="244"/>
      <c r="M162" s="245"/>
      <c r="N162" s="245"/>
    </row>
    <row r="163" spans="1:14" x14ac:dyDescent="0.2">
      <c r="A163" s="296" t="s">
        <v>338</v>
      </c>
      <c r="B163" s="296"/>
      <c r="C163" s="228" t="e">
        <f ca="1">C159/C161</f>
        <v>#DIV/0!</v>
      </c>
      <c r="D163" s="226"/>
      <c r="E163" s="243"/>
      <c r="F163" s="243"/>
      <c r="G163" s="623" t="s">
        <v>102</v>
      </c>
      <c r="H163" s="244"/>
      <c r="I163" s="244"/>
      <c r="J163" s="244"/>
      <c r="K163" s="244"/>
      <c r="M163" s="245"/>
      <c r="N163" s="245"/>
    </row>
    <row r="164" spans="1:14" x14ac:dyDescent="0.2">
      <c r="A164" s="296"/>
      <c r="B164" s="296"/>
      <c r="C164" s="227"/>
      <c r="D164" s="226"/>
      <c r="E164" s="243"/>
      <c r="F164" s="243"/>
      <c r="G164" s="623" t="s">
        <v>102</v>
      </c>
      <c r="H164" s="244"/>
      <c r="I164" s="244"/>
      <c r="J164" s="244"/>
      <c r="K164" s="244"/>
      <c r="M164" s="245"/>
      <c r="N164" s="245"/>
    </row>
    <row r="165" spans="1:14" ht="13.5" thickBot="1" x14ac:dyDescent="0.25">
      <c r="A165" s="416"/>
      <c r="B165" s="416"/>
      <c r="C165" s="419"/>
      <c r="D165" s="230"/>
      <c r="E165" s="243"/>
      <c r="F165" s="243"/>
      <c r="G165" s="623" t="s">
        <v>102</v>
      </c>
      <c r="H165" s="244"/>
      <c r="I165" s="244"/>
      <c r="J165" s="244"/>
      <c r="K165" s="244"/>
      <c r="M165" s="245"/>
      <c r="N165" s="245"/>
    </row>
    <row r="166" spans="1:14" ht="13.5" thickBot="1" x14ac:dyDescent="0.25">
      <c r="A166" s="250" t="s">
        <v>155</v>
      </c>
      <c r="B166" s="251"/>
      <c r="C166" s="252" t="str">
        <f>PRODUÇÃO!B83</f>
        <v xml:space="preserve">                 AVES</v>
      </c>
      <c r="D166" s="302"/>
      <c r="E166" s="243"/>
      <c r="F166" s="243"/>
      <c r="G166" s="623" t="s">
        <v>102</v>
      </c>
      <c r="H166" s="244"/>
      <c r="I166" s="244"/>
      <c r="J166" s="244"/>
      <c r="K166" s="244"/>
      <c r="M166" s="245"/>
      <c r="N166" s="245"/>
    </row>
    <row r="167" spans="1:14" ht="13.5" thickBot="1" x14ac:dyDescent="0.25">
      <c r="A167" s="3407" t="s">
        <v>179</v>
      </c>
      <c r="B167" s="3408"/>
      <c r="C167" s="3408"/>
      <c r="D167" s="3409"/>
      <c r="E167" s="243"/>
      <c r="F167" s="243"/>
      <c r="G167" s="623" t="s">
        <v>102</v>
      </c>
      <c r="H167" s="244"/>
      <c r="I167" s="244"/>
      <c r="J167" s="244"/>
      <c r="K167" s="244"/>
      <c r="M167" s="245"/>
      <c r="N167" s="245"/>
    </row>
    <row r="168" spans="1:14" ht="13.5" thickBot="1" x14ac:dyDescent="0.25">
      <c r="A168" s="254" t="s">
        <v>169</v>
      </c>
      <c r="B168" s="255"/>
      <c r="C168" s="256" t="s">
        <v>87</v>
      </c>
      <c r="D168" s="257" t="s">
        <v>88</v>
      </c>
      <c r="E168" s="243"/>
      <c r="F168" s="243"/>
      <c r="G168" s="623" t="s">
        <v>102</v>
      </c>
      <c r="H168" s="244"/>
      <c r="I168" s="244"/>
      <c r="J168" s="244"/>
      <c r="K168" s="244"/>
      <c r="M168" s="245"/>
      <c r="N168" s="245"/>
    </row>
    <row r="169" spans="1:14" x14ac:dyDescent="0.2">
      <c r="A169" s="265" t="s">
        <v>266</v>
      </c>
      <c r="B169" s="266"/>
      <c r="C169" s="267"/>
      <c r="D169" s="260"/>
      <c r="E169" s="243"/>
      <c r="F169" s="243"/>
      <c r="G169" s="623" t="s">
        <v>102</v>
      </c>
      <c r="H169" s="244"/>
      <c r="I169" s="244"/>
      <c r="J169" s="244"/>
      <c r="K169" s="244"/>
      <c r="M169" s="245"/>
      <c r="N169" s="245"/>
    </row>
    <row r="170" spans="1:14" x14ac:dyDescent="0.2">
      <c r="A170" s="317" t="s">
        <v>190</v>
      </c>
      <c r="B170" s="317"/>
      <c r="C170" s="259">
        <f ca="1">'resumo gastos CULTIVOS'!D84+'resumo gastos CULTIVOS'!E84+'resumo gastos CULTIVOS'!F84+'resumo gastos CULTIVOS'!H84+'resumo gastos CULTIVOS'!J84+'resumo gastos CULTIVOS'!L84</f>
        <v>0</v>
      </c>
      <c r="D170" s="287" t="e">
        <f ca="1">C170/$C$189</f>
        <v>#DIV/0!</v>
      </c>
      <c r="E170" s="243"/>
      <c r="F170" s="243"/>
      <c r="G170" s="623" t="s">
        <v>102</v>
      </c>
      <c r="H170" s="244"/>
      <c r="I170" s="244"/>
      <c r="J170" s="244"/>
      <c r="K170" s="244"/>
      <c r="M170" s="245"/>
      <c r="N170" s="245"/>
    </row>
    <row r="171" spans="1:14" x14ac:dyDescent="0.2">
      <c r="A171" s="318" t="s">
        <v>310</v>
      </c>
      <c r="B171" s="318"/>
      <c r="C171" s="259">
        <f>'A. DESPESAS (Outras)'!E48</f>
        <v>0</v>
      </c>
      <c r="D171" s="287" t="e">
        <f t="shared" ref="D171:D189" ca="1" si="4">C171/$C$189</f>
        <v>#DIV/0!</v>
      </c>
      <c r="E171" s="243"/>
      <c r="F171" s="243"/>
      <c r="G171" s="623" t="s">
        <v>102</v>
      </c>
      <c r="H171" s="244"/>
      <c r="I171" s="244"/>
      <c r="J171" s="244"/>
      <c r="K171" s="244"/>
      <c r="M171" s="245"/>
      <c r="N171" s="245"/>
    </row>
    <row r="172" spans="1:14" x14ac:dyDescent="0.2">
      <c r="A172" s="318" t="s">
        <v>322</v>
      </c>
      <c r="B172" s="318"/>
      <c r="C172" s="259">
        <f>'A. DESPESAS (Outras)'!F57</f>
        <v>0</v>
      </c>
      <c r="D172" s="287" t="e">
        <f t="shared" ca="1" si="4"/>
        <v>#DIV/0!</v>
      </c>
      <c r="E172" s="243"/>
      <c r="F172" s="243"/>
      <c r="G172" s="623" t="s">
        <v>102</v>
      </c>
      <c r="H172" s="244"/>
      <c r="I172" s="244"/>
      <c r="J172" s="244"/>
      <c r="K172" s="244"/>
      <c r="M172" s="245"/>
      <c r="N172" s="245"/>
    </row>
    <row r="173" spans="1:14" x14ac:dyDescent="0.2">
      <c r="A173" s="304" t="s">
        <v>323</v>
      </c>
      <c r="B173" s="304"/>
      <c r="C173" s="271">
        <f>'OUTROS CUSTOS'!E15</f>
        <v>0</v>
      </c>
      <c r="D173" s="287" t="e">
        <f t="shared" ca="1" si="4"/>
        <v>#DIV/0!</v>
      </c>
      <c r="E173" s="243"/>
      <c r="F173" s="243"/>
      <c r="G173" s="623" t="s">
        <v>102</v>
      </c>
      <c r="H173" s="244"/>
      <c r="I173" s="244"/>
      <c r="J173" s="244"/>
      <c r="K173" s="244"/>
      <c r="M173" s="245"/>
      <c r="N173" s="245"/>
    </row>
    <row r="174" spans="1:14" x14ac:dyDescent="0.2">
      <c r="A174" s="317"/>
      <c r="B174" s="317"/>
      <c r="C174" s="271"/>
      <c r="D174" s="287" t="e">
        <f t="shared" ca="1" si="4"/>
        <v>#DIV/0!</v>
      </c>
      <c r="E174" s="243"/>
      <c r="F174" s="243"/>
      <c r="G174" s="623" t="s">
        <v>102</v>
      </c>
      <c r="H174" s="244"/>
      <c r="I174" s="244"/>
      <c r="J174" s="244"/>
      <c r="K174" s="244"/>
      <c r="M174" s="245"/>
      <c r="N174" s="245"/>
    </row>
    <row r="175" spans="1:14" x14ac:dyDescent="0.2">
      <c r="A175" s="315" t="s">
        <v>313</v>
      </c>
      <c r="B175" s="315"/>
      <c r="C175" s="321">
        <f>M.oBRA!E44</f>
        <v>0</v>
      </c>
      <c r="D175" s="287" t="e">
        <f t="shared" ca="1" si="4"/>
        <v>#DIV/0!</v>
      </c>
      <c r="E175" s="243"/>
      <c r="F175" s="243"/>
      <c r="G175" s="623" t="s">
        <v>102</v>
      </c>
      <c r="H175" s="244"/>
      <c r="I175" s="244"/>
      <c r="J175" s="244"/>
      <c r="K175" s="244"/>
      <c r="M175" s="245"/>
      <c r="N175" s="245"/>
    </row>
    <row r="176" spans="1:14" x14ac:dyDescent="0.2">
      <c r="A176" s="315" t="s">
        <v>325</v>
      </c>
      <c r="B176" s="315"/>
      <c r="C176" s="321">
        <f ca="1">'C. MÁQ.'!E49</f>
        <v>0</v>
      </c>
      <c r="D176" s="287" t="e">
        <f t="shared" ca="1" si="4"/>
        <v>#DIV/0!</v>
      </c>
      <c r="E176" s="243"/>
      <c r="F176" s="243"/>
      <c r="G176" s="623" t="s">
        <v>102</v>
      </c>
      <c r="H176" s="244"/>
      <c r="I176" s="244"/>
      <c r="J176" s="244"/>
      <c r="K176" s="244"/>
      <c r="M176" s="245"/>
      <c r="N176" s="245"/>
    </row>
    <row r="177" spans="1:14" x14ac:dyDescent="0.2">
      <c r="A177" s="315" t="s">
        <v>326</v>
      </c>
      <c r="B177" s="315"/>
      <c r="C177" s="271">
        <f>'D. INSTAL.'!E46</f>
        <v>0</v>
      </c>
      <c r="D177" s="287" t="e">
        <f t="shared" ca="1" si="4"/>
        <v>#DIV/0!</v>
      </c>
      <c r="E177" s="243"/>
      <c r="F177" s="243"/>
      <c r="G177" s="623" t="s">
        <v>102</v>
      </c>
      <c r="H177" s="244"/>
      <c r="I177" s="244"/>
      <c r="J177" s="244"/>
      <c r="K177" s="244"/>
      <c r="M177" s="245"/>
      <c r="N177" s="245"/>
    </row>
    <row r="178" spans="1:14" x14ac:dyDescent="0.2">
      <c r="A178" s="268"/>
      <c r="B178" s="268"/>
      <c r="C178" s="264">
        <f ca="1">SUMIF(C170:C177,"&gt;0",C170:C177)</f>
        <v>0</v>
      </c>
      <c r="D178" s="287"/>
      <c r="E178" s="243"/>
      <c r="F178" s="243"/>
      <c r="G178" s="623" t="s">
        <v>102</v>
      </c>
      <c r="H178" s="244"/>
      <c r="I178" s="244"/>
      <c r="J178" s="244"/>
      <c r="K178" s="244"/>
      <c r="M178" s="245"/>
      <c r="N178" s="245"/>
    </row>
    <row r="179" spans="1:14" x14ac:dyDescent="0.2">
      <c r="A179" s="412" t="s">
        <v>172</v>
      </c>
      <c r="B179" s="412"/>
      <c r="C179" s="259"/>
      <c r="D179" s="287" t="e">
        <f t="shared" ca="1" si="4"/>
        <v>#DIV/0!</v>
      </c>
      <c r="E179" s="261"/>
      <c r="F179" s="243"/>
      <c r="G179" s="623" t="s">
        <v>102</v>
      </c>
      <c r="H179" s="244"/>
      <c r="I179" s="244"/>
      <c r="J179" s="244"/>
      <c r="K179" s="244"/>
      <c r="M179" s="245"/>
      <c r="N179" s="245"/>
    </row>
    <row r="180" spans="1:14" x14ac:dyDescent="0.2">
      <c r="A180" s="268" t="s">
        <v>191</v>
      </c>
      <c r="B180" s="268"/>
      <c r="C180" s="281">
        <f>'resumo gastos CULTIVOS'!G84</f>
        <v>0</v>
      </c>
      <c r="D180" s="287" t="e">
        <f t="shared" ca="1" si="4"/>
        <v>#DIV/0!</v>
      </c>
      <c r="E180" s="261"/>
      <c r="F180" s="243"/>
      <c r="G180" s="623" t="s">
        <v>102</v>
      </c>
      <c r="H180" s="244"/>
      <c r="I180" s="244"/>
      <c r="J180" s="244"/>
      <c r="K180" s="244"/>
      <c r="M180" s="245"/>
      <c r="N180" s="245"/>
    </row>
    <row r="181" spans="1:14" x14ac:dyDescent="0.2">
      <c r="A181" s="268" t="s">
        <v>315</v>
      </c>
      <c r="B181" s="268"/>
      <c r="C181" s="281">
        <f>'resumo gastos CULTIVOS'!I84</f>
        <v>0</v>
      </c>
      <c r="D181" s="287" t="e">
        <f t="shared" ca="1" si="4"/>
        <v>#DIV/0!</v>
      </c>
      <c r="E181" s="307"/>
      <c r="F181" s="243"/>
      <c r="G181" s="623" t="s">
        <v>102</v>
      </c>
      <c r="H181" s="244"/>
      <c r="I181" s="244"/>
      <c r="J181" s="244"/>
      <c r="K181" s="301"/>
      <c r="M181" s="245"/>
      <c r="N181" s="245"/>
    </row>
    <row r="182" spans="1:14" x14ac:dyDescent="0.2">
      <c r="A182" s="268" t="s">
        <v>316</v>
      </c>
      <c r="B182" s="268"/>
      <c r="C182" s="264">
        <f>'C. MÁQ.'!E48+'D. INSTAL.'!E45</f>
        <v>0</v>
      </c>
      <c r="D182" s="287" t="e">
        <f t="shared" ca="1" si="4"/>
        <v>#DIV/0!</v>
      </c>
      <c r="E182" s="243"/>
      <c r="F182" s="243"/>
      <c r="G182" s="623" t="s">
        <v>102</v>
      </c>
      <c r="H182" s="244"/>
      <c r="I182" s="244"/>
      <c r="J182" s="244"/>
      <c r="K182" s="244"/>
      <c r="M182" s="245"/>
      <c r="N182" s="245"/>
    </row>
    <row r="183" spans="1:14" x14ac:dyDescent="0.2">
      <c r="A183" s="305" t="s">
        <v>184</v>
      </c>
      <c r="B183" s="305"/>
      <c r="C183" s="264">
        <f>SUMIF(C180:C182,"&gt;0",C180:C182)</f>
        <v>0</v>
      </c>
      <c r="D183" s="287"/>
      <c r="E183" s="261">
        <f>C183</f>
        <v>0</v>
      </c>
      <c r="F183" s="243"/>
      <c r="G183" s="623" t="s">
        <v>102</v>
      </c>
      <c r="H183" s="244"/>
      <c r="I183" s="244"/>
      <c r="J183" s="244"/>
      <c r="K183" s="244"/>
      <c r="L183" s="284"/>
      <c r="M183" s="245"/>
      <c r="N183" s="245"/>
    </row>
    <row r="184" spans="1:14" hidden="1" x14ac:dyDescent="0.2">
      <c r="A184" s="412" t="s">
        <v>170</v>
      </c>
      <c r="B184" s="412"/>
      <c r="C184" s="290"/>
      <c r="D184" s="287" t="e">
        <f t="shared" ca="1" si="4"/>
        <v>#DIV/0!</v>
      </c>
      <c r="E184" s="243"/>
      <c r="F184" s="243"/>
      <c r="G184" s="623" t="s">
        <v>102</v>
      </c>
      <c r="H184" s="244"/>
      <c r="I184" s="244"/>
      <c r="J184" s="244"/>
      <c r="K184" s="244"/>
      <c r="M184" s="245"/>
      <c r="N184" s="245"/>
    </row>
    <row r="185" spans="1:14" hidden="1" x14ac:dyDescent="0.2">
      <c r="A185" s="412" t="s">
        <v>185</v>
      </c>
      <c r="B185" s="412"/>
      <c r="C185" s="290">
        <f>'resumo gastos CULTIVOS'!E84+M.oBRA!E50</f>
        <v>0</v>
      </c>
      <c r="D185" s="287" t="e">
        <f t="shared" ca="1" si="4"/>
        <v>#DIV/0!</v>
      </c>
      <c r="E185" s="243"/>
      <c r="F185" s="243"/>
      <c r="G185" s="623" t="s">
        <v>102</v>
      </c>
      <c r="H185" s="244"/>
      <c r="I185" s="244"/>
      <c r="J185" s="244"/>
      <c r="K185" s="244"/>
      <c r="M185" s="245"/>
      <c r="N185" s="245"/>
    </row>
    <row r="186" spans="1:14" hidden="1" x14ac:dyDescent="0.2">
      <c r="A186" s="412" t="s">
        <v>186</v>
      </c>
      <c r="B186" s="412"/>
      <c r="C186" s="290">
        <f>'OUTROS CUSTOS'!E18+'resumo gastos CULTIVOS'!F84</f>
        <v>0</v>
      </c>
      <c r="D186" s="287" t="e">
        <f t="shared" ca="1" si="4"/>
        <v>#DIV/0!</v>
      </c>
      <c r="E186" s="243"/>
      <c r="F186" s="243"/>
      <c r="G186" s="623" t="s">
        <v>102</v>
      </c>
      <c r="H186" s="244"/>
      <c r="I186" s="244"/>
      <c r="J186" s="244"/>
      <c r="K186" s="244"/>
      <c r="M186" s="245"/>
      <c r="N186" s="245"/>
    </row>
    <row r="187" spans="1:14" hidden="1" x14ac:dyDescent="0.2">
      <c r="A187" s="414" t="s">
        <v>60</v>
      </c>
      <c r="B187" s="414"/>
      <c r="C187" s="228">
        <f>SUMIF(C185:C186,"&gt;0",C185:C186)</f>
        <v>0</v>
      </c>
      <c r="D187" s="287" t="e">
        <f t="shared" ca="1" si="4"/>
        <v>#DIV/0!</v>
      </c>
      <c r="E187" s="243"/>
      <c r="F187" s="243"/>
      <c r="G187" s="623" t="s">
        <v>102</v>
      </c>
      <c r="H187" s="244"/>
      <c r="I187" s="244"/>
      <c r="J187" s="244"/>
      <c r="K187" s="244"/>
      <c r="M187" s="245"/>
      <c r="N187" s="245"/>
    </row>
    <row r="188" spans="1:14" x14ac:dyDescent="0.2">
      <c r="A188" s="414"/>
      <c r="B188" s="414"/>
      <c r="C188" s="228"/>
      <c r="D188" s="287" t="e">
        <f t="shared" ca="1" si="4"/>
        <v>#DIV/0!</v>
      </c>
      <c r="E188" s="243"/>
      <c r="F188" s="243"/>
      <c r="G188" s="623" t="s">
        <v>102</v>
      </c>
      <c r="H188" s="244"/>
      <c r="I188" s="244"/>
      <c r="J188" s="244"/>
      <c r="K188" s="244"/>
      <c r="M188" s="245"/>
      <c r="N188" s="245"/>
    </row>
    <row r="189" spans="1:14" x14ac:dyDescent="0.2">
      <c r="A189" s="415" t="s">
        <v>269</v>
      </c>
      <c r="B189" s="415"/>
      <c r="C189" s="228">
        <f ca="1">C178+C183</f>
        <v>0</v>
      </c>
      <c r="D189" s="287" t="e">
        <f t="shared" ca="1" si="4"/>
        <v>#DIV/0!</v>
      </c>
      <c r="E189" s="243"/>
      <c r="F189" s="243"/>
      <c r="G189" s="623" t="s">
        <v>102</v>
      </c>
      <c r="H189" s="244"/>
      <c r="I189" s="244"/>
      <c r="J189" s="244"/>
      <c r="K189" s="244"/>
      <c r="M189" s="245"/>
      <c r="N189" s="245"/>
    </row>
    <row r="190" spans="1:14" x14ac:dyDescent="0.2">
      <c r="A190" s="412" t="s">
        <v>171</v>
      </c>
      <c r="B190" s="412"/>
      <c r="C190" s="290"/>
      <c r="D190" s="226"/>
      <c r="E190" s="243"/>
      <c r="F190" s="243"/>
      <c r="G190" s="623" t="s">
        <v>102</v>
      </c>
      <c r="H190" s="244"/>
      <c r="I190" s="244"/>
      <c r="J190" s="244"/>
      <c r="K190" s="244"/>
      <c r="M190" s="245"/>
      <c r="N190" s="245"/>
    </row>
    <row r="191" spans="1:14" x14ac:dyDescent="0.2">
      <c r="A191" s="296" t="s">
        <v>340</v>
      </c>
      <c r="B191" s="296"/>
      <c r="C191" s="322">
        <f>PRODUÇÃO!E83</f>
        <v>0</v>
      </c>
      <c r="D191" s="226"/>
      <c r="E191" s="243"/>
      <c r="F191" s="243"/>
      <c r="G191" s="623" t="s">
        <v>102</v>
      </c>
      <c r="H191" s="244"/>
      <c r="I191" s="244"/>
      <c r="J191" s="244"/>
      <c r="K191" s="244"/>
      <c r="M191" s="245"/>
      <c r="N191" s="245"/>
    </row>
    <row r="192" spans="1:14" x14ac:dyDescent="0.2">
      <c r="A192" s="296" t="s">
        <v>337</v>
      </c>
      <c r="B192" s="296"/>
      <c r="C192" s="228" t="e">
        <f ca="1">C178/C191</f>
        <v>#DIV/0!</v>
      </c>
      <c r="D192" s="226"/>
      <c r="E192" s="243"/>
      <c r="F192" s="243"/>
      <c r="G192" s="623" t="s">
        <v>102</v>
      </c>
      <c r="H192" s="244"/>
      <c r="I192" s="244"/>
      <c r="J192" s="244"/>
      <c r="K192" s="244"/>
      <c r="M192" s="245"/>
      <c r="N192" s="245"/>
    </row>
    <row r="193" spans="1:14" x14ac:dyDescent="0.2">
      <c r="A193" s="296" t="s">
        <v>338</v>
      </c>
      <c r="B193" s="296"/>
      <c r="C193" s="228" t="e">
        <f ca="1">C189/C191</f>
        <v>#DIV/0!</v>
      </c>
      <c r="D193" s="226"/>
      <c r="E193" s="243"/>
      <c r="F193" s="243"/>
      <c r="G193" s="623" t="s">
        <v>102</v>
      </c>
      <c r="H193" s="244"/>
      <c r="I193" s="244"/>
      <c r="J193" s="244"/>
      <c r="K193" s="244"/>
      <c r="M193" s="245"/>
      <c r="N193" s="245"/>
    </row>
    <row r="194" spans="1:14" x14ac:dyDescent="0.2">
      <c r="A194" s="303" t="s">
        <v>341</v>
      </c>
      <c r="B194" s="303"/>
      <c r="C194" s="281"/>
      <c r="D194" s="303"/>
      <c r="E194" s="243"/>
      <c r="F194" s="243"/>
      <c r="G194" s="623" t="s">
        <v>102</v>
      </c>
      <c r="H194" s="244"/>
      <c r="I194" s="244"/>
      <c r="J194" s="244"/>
      <c r="K194" s="244"/>
      <c r="M194" s="245"/>
      <c r="N194" s="245"/>
    </row>
    <row r="195" spans="1:14" ht="13.5" thickBot="1" x14ac:dyDescent="0.25">
      <c r="A195" s="244"/>
      <c r="B195" s="244"/>
      <c r="C195" s="301"/>
      <c r="D195" s="244"/>
      <c r="E195" s="243"/>
      <c r="F195" s="243"/>
      <c r="G195" s="623" t="s">
        <v>102</v>
      </c>
      <c r="H195" s="244"/>
      <c r="I195" s="244"/>
      <c r="J195" s="244"/>
      <c r="K195" s="244"/>
      <c r="M195" s="245"/>
      <c r="N195" s="245"/>
    </row>
    <row r="196" spans="1:14" ht="13.5" thickBot="1" x14ac:dyDescent="0.25">
      <c r="A196" s="250" t="s">
        <v>155</v>
      </c>
      <c r="B196" s="251"/>
      <c r="C196" s="323" t="str">
        <f>PRODUÇÃO!B85</f>
        <v xml:space="preserve">OUTROS ANIMAIS </v>
      </c>
      <c r="D196" s="324"/>
      <c r="E196" s="243"/>
      <c r="F196" s="243"/>
      <c r="G196" s="623" t="s">
        <v>102</v>
      </c>
      <c r="H196" s="244"/>
      <c r="I196" s="244"/>
      <c r="J196" s="244"/>
      <c r="K196" s="244"/>
      <c r="M196" s="245"/>
      <c r="N196" s="245"/>
    </row>
    <row r="197" spans="1:14" ht="13.5" thickBot="1" x14ac:dyDescent="0.25">
      <c r="A197" s="3407" t="s">
        <v>179</v>
      </c>
      <c r="B197" s="3408"/>
      <c r="C197" s="3408"/>
      <c r="D197" s="3409"/>
      <c r="E197" s="243"/>
      <c r="F197" s="243"/>
      <c r="G197" s="623" t="s">
        <v>102</v>
      </c>
      <c r="H197" s="244"/>
      <c r="I197" s="244"/>
      <c r="J197" s="244"/>
      <c r="K197" s="244"/>
      <c r="M197" s="245"/>
      <c r="N197" s="245"/>
    </row>
    <row r="198" spans="1:14" ht="13.5" thickBot="1" x14ac:dyDescent="0.25">
      <c r="A198" s="254" t="s">
        <v>169</v>
      </c>
      <c r="B198" s="255"/>
      <c r="C198" s="256" t="s">
        <v>87</v>
      </c>
      <c r="D198" s="257" t="s">
        <v>88</v>
      </c>
      <c r="E198" s="243"/>
      <c r="F198" s="243"/>
      <c r="G198" s="623" t="s">
        <v>102</v>
      </c>
      <c r="H198" s="244"/>
      <c r="I198" s="244"/>
      <c r="J198" s="244"/>
      <c r="K198" s="244"/>
      <c r="M198" s="245"/>
      <c r="N198" s="245"/>
    </row>
    <row r="199" spans="1:14" x14ac:dyDescent="0.2">
      <c r="A199" s="265" t="s">
        <v>266</v>
      </c>
      <c r="B199" s="266"/>
      <c r="C199" s="267"/>
      <c r="D199" s="260"/>
      <c r="E199" s="243"/>
      <c r="F199" s="243"/>
      <c r="G199" s="623" t="s">
        <v>102</v>
      </c>
      <c r="H199" s="244"/>
      <c r="I199" s="244"/>
      <c r="J199" s="244"/>
      <c r="K199" s="244"/>
      <c r="M199" s="245"/>
      <c r="N199" s="245"/>
    </row>
    <row r="200" spans="1:14" x14ac:dyDescent="0.2">
      <c r="A200" s="317" t="s">
        <v>190</v>
      </c>
      <c r="B200" s="317"/>
      <c r="C200" s="259">
        <f ca="1">'resumo gastos CULTIVOS'!D92+'resumo gastos CULTIVOS'!E92+'resumo gastos CULTIVOS'!F92+'resumo gastos CULTIVOS'!H92+'resumo gastos CULTIVOS'!J92+'resumo gastos CULTIVOS'!L92</f>
        <v>0</v>
      </c>
      <c r="D200" s="287"/>
      <c r="E200" s="243"/>
      <c r="F200" s="243"/>
      <c r="G200" s="623" t="s">
        <v>102</v>
      </c>
      <c r="H200" s="244"/>
      <c r="I200" s="244"/>
      <c r="J200" s="244"/>
      <c r="K200" s="244"/>
      <c r="M200" s="245"/>
      <c r="N200" s="245"/>
    </row>
    <row r="201" spans="1:14" x14ac:dyDescent="0.2">
      <c r="A201" s="318" t="s">
        <v>310</v>
      </c>
      <c r="B201" s="318"/>
      <c r="C201" s="259">
        <f>'A. DESPESAS (Outras)'!E75</f>
        <v>0</v>
      </c>
      <c r="D201" s="287"/>
      <c r="E201" s="243"/>
      <c r="F201" s="243"/>
      <c r="G201" s="623" t="s">
        <v>102</v>
      </c>
      <c r="H201" s="244"/>
      <c r="I201" s="244"/>
      <c r="J201" s="244"/>
      <c r="K201" s="244"/>
      <c r="M201" s="245"/>
      <c r="N201" s="245"/>
    </row>
    <row r="202" spans="1:14" x14ac:dyDescent="0.2">
      <c r="A202" s="318" t="s">
        <v>312</v>
      </c>
      <c r="B202" s="318"/>
      <c r="C202" s="259">
        <f>'A. DESPESAS (Outras)'!F84</f>
        <v>0</v>
      </c>
      <c r="D202" s="287"/>
      <c r="E202" s="243"/>
      <c r="F202" s="243"/>
      <c r="G202" s="623" t="s">
        <v>102</v>
      </c>
      <c r="H202" s="244"/>
      <c r="I202" s="244"/>
      <c r="J202" s="244"/>
      <c r="K202" s="244"/>
      <c r="M202" s="245"/>
      <c r="N202" s="245"/>
    </row>
    <row r="203" spans="1:14" x14ac:dyDescent="0.2">
      <c r="A203" s="304" t="s">
        <v>302</v>
      </c>
      <c r="B203" s="304"/>
      <c r="C203" s="325">
        <f>'OUTROS CUSTOS'!F15</f>
        <v>0</v>
      </c>
      <c r="D203" s="287"/>
      <c r="E203" s="243"/>
      <c r="F203" s="243"/>
      <c r="G203" s="623" t="s">
        <v>102</v>
      </c>
      <c r="H203" s="244"/>
      <c r="I203" s="244"/>
      <c r="J203" s="244"/>
      <c r="K203" s="244"/>
      <c r="M203" s="245"/>
      <c r="N203" s="245"/>
    </row>
    <row r="204" spans="1:14" x14ac:dyDescent="0.2">
      <c r="A204" s="317"/>
      <c r="B204" s="317"/>
      <c r="C204" s="325"/>
      <c r="D204" s="287"/>
      <c r="E204" s="243"/>
      <c r="F204" s="243"/>
      <c r="G204" s="623" t="s">
        <v>102</v>
      </c>
      <c r="H204" s="244"/>
      <c r="I204" s="244"/>
      <c r="J204" s="244"/>
      <c r="K204" s="244"/>
      <c r="M204" s="245"/>
      <c r="N204" s="245"/>
    </row>
    <row r="205" spans="1:14" x14ac:dyDescent="0.2">
      <c r="A205" s="315" t="s">
        <v>314</v>
      </c>
      <c r="B205" s="315"/>
      <c r="C205" s="325">
        <f>M.oBRA!F44</f>
        <v>0</v>
      </c>
      <c r="D205" s="287"/>
      <c r="E205" s="243"/>
      <c r="F205" s="243"/>
      <c r="G205" s="623" t="s">
        <v>102</v>
      </c>
      <c r="H205" s="244"/>
      <c r="I205" s="244"/>
      <c r="J205" s="244"/>
      <c r="K205" s="244"/>
      <c r="M205" s="245"/>
      <c r="N205" s="245"/>
    </row>
    <row r="206" spans="1:14" x14ac:dyDescent="0.2">
      <c r="A206" s="315" t="s">
        <v>308</v>
      </c>
      <c r="B206" s="315"/>
      <c r="C206" s="325">
        <f ca="1">'C. MÁQ.'!F49</f>
        <v>0</v>
      </c>
      <c r="D206" s="287"/>
      <c r="E206" s="243"/>
      <c r="F206" s="243"/>
      <c r="G206" s="623" t="s">
        <v>102</v>
      </c>
      <c r="H206" s="244"/>
      <c r="I206" s="244"/>
      <c r="J206" s="244"/>
      <c r="K206" s="244"/>
      <c r="M206" s="245"/>
      <c r="N206" s="245"/>
    </row>
    <row r="207" spans="1:14" x14ac:dyDescent="0.2">
      <c r="A207" s="315" t="s">
        <v>309</v>
      </c>
      <c r="B207" s="315"/>
      <c r="C207" s="325">
        <f>'D. INSTAL.'!F46</f>
        <v>0</v>
      </c>
      <c r="D207" s="287"/>
      <c r="E207" s="243"/>
      <c r="F207" s="243"/>
      <c r="G207" s="623" t="s">
        <v>102</v>
      </c>
      <c r="H207" s="244"/>
      <c r="I207" s="244"/>
      <c r="J207" s="244"/>
      <c r="K207" s="244"/>
      <c r="M207" s="245"/>
      <c r="N207" s="245"/>
    </row>
    <row r="208" spans="1:14" x14ac:dyDescent="0.2">
      <c r="A208" s="268"/>
      <c r="B208" s="268"/>
      <c r="C208" s="325"/>
      <c r="D208" s="287"/>
      <c r="E208" s="243"/>
      <c r="F208" s="243"/>
      <c r="G208" s="623" t="s">
        <v>102</v>
      </c>
      <c r="H208" s="244"/>
      <c r="I208" s="244"/>
      <c r="J208" s="244"/>
      <c r="K208" s="244"/>
      <c r="M208" s="245"/>
      <c r="N208" s="245"/>
    </row>
    <row r="209" spans="1:14" x14ac:dyDescent="0.2">
      <c r="A209" s="268"/>
      <c r="B209" s="268"/>
      <c r="C209" s="325"/>
      <c r="D209" s="287"/>
      <c r="E209" s="243"/>
      <c r="F209" s="243"/>
      <c r="G209" s="623" t="s">
        <v>102</v>
      </c>
      <c r="H209" s="244"/>
      <c r="I209" s="244"/>
      <c r="J209" s="244"/>
      <c r="K209" s="244"/>
      <c r="M209" s="245"/>
      <c r="N209" s="245"/>
    </row>
    <row r="210" spans="1:14" x14ac:dyDescent="0.2">
      <c r="A210" s="268"/>
      <c r="B210" s="268"/>
      <c r="C210" s="264">
        <f ca="1">SUMIF(C200:C209,"&gt;0",C200:C209)</f>
        <v>0</v>
      </c>
      <c r="D210" s="287"/>
      <c r="E210" s="243"/>
      <c r="F210" s="243"/>
      <c r="G210" s="623" t="s">
        <v>102</v>
      </c>
      <c r="H210" s="244"/>
      <c r="I210" s="244"/>
      <c r="J210" s="244"/>
      <c r="K210" s="244"/>
      <c r="M210" s="245"/>
      <c r="N210" s="245"/>
    </row>
    <row r="211" spans="1:14" x14ac:dyDescent="0.2">
      <c r="A211" s="412" t="s">
        <v>172</v>
      </c>
      <c r="B211" s="412"/>
      <c r="C211" s="259"/>
      <c r="D211" s="287"/>
      <c r="E211" s="243"/>
      <c r="F211" s="243"/>
      <c r="G211" s="623" t="s">
        <v>102</v>
      </c>
      <c r="H211" s="244"/>
      <c r="I211" s="244"/>
      <c r="J211" s="244"/>
      <c r="K211" s="244"/>
      <c r="M211" s="245"/>
      <c r="N211" s="245"/>
    </row>
    <row r="212" spans="1:14" x14ac:dyDescent="0.2">
      <c r="A212" s="268" t="s">
        <v>191</v>
      </c>
      <c r="B212" s="268"/>
      <c r="C212" s="281">
        <f>'resumo gastos CULTIVOS'!G92</f>
        <v>0</v>
      </c>
      <c r="D212" s="287"/>
      <c r="E212" s="243"/>
      <c r="F212" s="243"/>
      <c r="G212" s="623" t="s">
        <v>102</v>
      </c>
      <c r="H212" s="244"/>
      <c r="I212" s="244"/>
      <c r="J212" s="244"/>
      <c r="K212" s="244"/>
      <c r="M212" s="245"/>
      <c r="N212" s="245"/>
    </row>
    <row r="213" spans="1:14" x14ac:dyDescent="0.2">
      <c r="A213" s="268" t="s">
        <v>315</v>
      </c>
      <c r="B213" s="268"/>
      <c r="C213" s="281">
        <f>'resumo gastos CULTIVOS'!I92</f>
        <v>0</v>
      </c>
      <c r="D213" s="287"/>
      <c r="E213" s="243"/>
      <c r="F213" s="243"/>
      <c r="G213" s="623" t="s">
        <v>102</v>
      </c>
      <c r="H213" s="244"/>
      <c r="I213" s="244"/>
      <c r="J213" s="244"/>
      <c r="K213" s="244"/>
      <c r="M213" s="245"/>
      <c r="N213" s="245"/>
    </row>
    <row r="214" spans="1:14" x14ac:dyDescent="0.2">
      <c r="A214" s="424" t="s">
        <v>317</v>
      </c>
      <c r="B214" s="424"/>
      <c r="C214" s="264">
        <f>'C. MÁQ.'!F48+'D. INSTAL.'!F45</f>
        <v>0</v>
      </c>
      <c r="D214" s="287"/>
      <c r="E214" s="243"/>
      <c r="F214" s="243"/>
      <c r="G214" s="623" t="s">
        <v>102</v>
      </c>
      <c r="H214" s="244"/>
      <c r="I214" s="244"/>
      <c r="J214" s="244"/>
      <c r="K214" s="244"/>
      <c r="M214" s="245"/>
      <c r="N214" s="245"/>
    </row>
    <row r="215" spans="1:14" x14ac:dyDescent="0.2">
      <c r="A215" s="305" t="s">
        <v>184</v>
      </c>
      <c r="B215" s="305"/>
      <c r="C215" s="264">
        <f>SUMIF(C212:C214,"&gt;0",C212:C214)</f>
        <v>0</v>
      </c>
      <c r="D215" s="287"/>
      <c r="E215" s="261">
        <f>C215</f>
        <v>0</v>
      </c>
      <c r="F215" s="243"/>
      <c r="G215" s="623" t="s">
        <v>102</v>
      </c>
      <c r="H215" s="244"/>
      <c r="I215" s="244"/>
      <c r="J215" s="244"/>
      <c r="K215" s="244"/>
      <c r="L215" s="284"/>
      <c r="M215" s="245"/>
      <c r="N215" s="245"/>
    </row>
    <row r="216" spans="1:14" x14ac:dyDescent="0.2">
      <c r="A216" s="412"/>
      <c r="B216" s="412"/>
      <c r="C216" s="228"/>
      <c r="D216" s="287"/>
      <c r="E216" s="243"/>
      <c r="F216" s="243"/>
      <c r="G216" s="623" t="s">
        <v>102</v>
      </c>
      <c r="H216" s="244"/>
      <c r="I216" s="244"/>
      <c r="J216" s="244"/>
      <c r="K216" s="244"/>
      <c r="M216" s="245"/>
      <c r="N216" s="245"/>
    </row>
    <row r="217" spans="1:14" x14ac:dyDescent="0.2">
      <c r="A217" s="415" t="s">
        <v>269</v>
      </c>
      <c r="B217" s="415"/>
      <c r="C217" s="228">
        <f ca="1">C210+C215</f>
        <v>0</v>
      </c>
      <c r="D217" s="287"/>
      <c r="E217" s="243"/>
      <c r="F217" s="243"/>
      <c r="G217" s="623" t="s">
        <v>102</v>
      </c>
      <c r="H217" s="244"/>
      <c r="I217" s="244"/>
      <c r="J217" s="244"/>
      <c r="K217" s="244"/>
      <c r="M217" s="245"/>
      <c r="N217" s="245"/>
    </row>
    <row r="218" spans="1:14" x14ac:dyDescent="0.2">
      <c r="A218" s="412" t="s">
        <v>171</v>
      </c>
      <c r="B218" s="412"/>
      <c r="C218" s="290"/>
      <c r="D218" s="226"/>
      <c r="E218" s="243"/>
      <c r="F218" s="243"/>
      <c r="G218" s="623" t="s">
        <v>102</v>
      </c>
      <c r="H218" s="244"/>
      <c r="I218" s="244"/>
      <c r="J218" s="244"/>
      <c r="K218" s="244"/>
      <c r="M218" s="245"/>
      <c r="N218" s="245"/>
    </row>
    <row r="219" spans="1:14" x14ac:dyDescent="0.2">
      <c r="A219" s="296" t="s">
        <v>340</v>
      </c>
      <c r="B219" s="296"/>
      <c r="C219" s="326">
        <f>PRODUÇÃO!E85</f>
        <v>0</v>
      </c>
      <c r="D219" s="226"/>
      <c r="E219" s="243"/>
      <c r="F219" s="243"/>
      <c r="G219" s="623" t="s">
        <v>102</v>
      </c>
      <c r="H219" s="244"/>
      <c r="I219" s="244"/>
      <c r="J219" s="244"/>
      <c r="K219" s="244"/>
      <c r="M219" s="245"/>
      <c r="N219" s="245"/>
    </row>
    <row r="220" spans="1:14" x14ac:dyDescent="0.2">
      <c r="A220" s="296" t="s">
        <v>337</v>
      </c>
      <c r="B220" s="296"/>
      <c r="C220" s="290" t="e">
        <f ca="1">C210/C219</f>
        <v>#DIV/0!</v>
      </c>
      <c r="D220" s="226"/>
      <c r="E220" s="243"/>
      <c r="F220" s="243"/>
      <c r="G220" s="623" t="s">
        <v>102</v>
      </c>
      <c r="H220" s="244"/>
      <c r="I220" s="244"/>
      <c r="J220" s="244"/>
      <c r="K220" s="244"/>
      <c r="M220" s="245"/>
      <c r="N220" s="245"/>
    </row>
    <row r="221" spans="1:14" x14ac:dyDescent="0.2">
      <c r="A221" s="296" t="s">
        <v>338</v>
      </c>
      <c r="B221" s="296"/>
      <c r="C221" s="227" t="e">
        <f ca="1">C217/C219</f>
        <v>#DIV/0!</v>
      </c>
      <c r="D221" s="226"/>
      <c r="E221" s="243"/>
      <c r="F221" s="243"/>
      <c r="G221" s="623" t="s">
        <v>102</v>
      </c>
      <c r="H221" s="244"/>
      <c r="I221" s="244"/>
      <c r="J221" s="244"/>
      <c r="K221" s="244"/>
      <c r="M221" s="245"/>
      <c r="N221" s="245"/>
    </row>
    <row r="222" spans="1:14" x14ac:dyDescent="0.2">
      <c r="A222" s="244"/>
      <c r="B222" s="244"/>
      <c r="C222" s="301"/>
      <c r="D222" s="244"/>
      <c r="E222" s="243"/>
      <c r="F222" s="243"/>
      <c r="G222" s="623" t="s">
        <v>102</v>
      </c>
      <c r="H222" s="244"/>
      <c r="I222" s="244"/>
      <c r="J222" s="244"/>
      <c r="K222" s="244"/>
      <c r="M222" s="245"/>
      <c r="N222" s="245"/>
    </row>
    <row r="223" spans="1:14" x14ac:dyDescent="0.2">
      <c r="A223" s="623" t="s">
        <v>102</v>
      </c>
      <c r="B223" s="623" t="s">
        <v>102</v>
      </c>
      <c r="C223" s="623" t="s">
        <v>102</v>
      </c>
      <c r="D223" s="623" t="s">
        <v>102</v>
      </c>
      <c r="E223" s="249"/>
      <c r="F223" s="249"/>
      <c r="G223" s="623" t="s">
        <v>102</v>
      </c>
      <c r="H223" s="244"/>
      <c r="I223" s="244"/>
      <c r="J223" s="244"/>
      <c r="K223" s="244"/>
      <c r="M223" s="245"/>
      <c r="N223" s="245"/>
    </row>
    <row r="224" spans="1:14" x14ac:dyDescent="0.2">
      <c r="A224" s="623" t="s">
        <v>102</v>
      </c>
      <c r="B224" s="623" t="s">
        <v>102</v>
      </c>
      <c r="C224" s="623" t="s">
        <v>102</v>
      </c>
      <c r="D224" s="623" t="s">
        <v>102</v>
      </c>
      <c r="E224" s="247"/>
      <c r="F224" s="249"/>
      <c r="G224" s="623" t="s">
        <v>102</v>
      </c>
      <c r="H224" s="244"/>
      <c r="I224" s="244"/>
      <c r="J224" s="244"/>
      <c r="K224" s="244"/>
      <c r="M224" s="245"/>
      <c r="N224" s="245"/>
    </row>
    <row r="225" spans="1:14" x14ac:dyDescent="0.2">
      <c r="A225" s="623" t="s">
        <v>102</v>
      </c>
      <c r="B225" s="623" t="s">
        <v>102</v>
      </c>
      <c r="C225" s="623" t="s">
        <v>102</v>
      </c>
      <c r="D225" s="623" t="s">
        <v>102</v>
      </c>
      <c r="E225" s="248"/>
      <c r="F225" s="622"/>
      <c r="G225" s="623" t="s">
        <v>102</v>
      </c>
      <c r="H225" s="244"/>
      <c r="I225" s="244"/>
      <c r="J225" s="244"/>
      <c r="K225" s="244"/>
      <c r="M225" s="245"/>
      <c r="N225" s="245"/>
    </row>
    <row r="226" spans="1:14" x14ac:dyDescent="0.2">
      <c r="A226" s="623" t="s">
        <v>102</v>
      </c>
      <c r="B226" s="623" t="s">
        <v>102</v>
      </c>
      <c r="C226" s="623" t="s">
        <v>102</v>
      </c>
      <c r="D226" s="623" t="s">
        <v>102</v>
      </c>
      <c r="E226" s="248"/>
      <c r="F226" s="188"/>
      <c r="G226" s="623" t="s">
        <v>102</v>
      </c>
      <c r="H226" s="244"/>
      <c r="I226" s="244"/>
      <c r="J226" s="244"/>
      <c r="K226" s="244"/>
      <c r="M226" s="245"/>
      <c r="N226" s="245"/>
    </row>
    <row r="227" spans="1:14" x14ac:dyDescent="0.2">
      <c r="A227" s="623" t="s">
        <v>102</v>
      </c>
      <c r="B227" s="623" t="s">
        <v>102</v>
      </c>
      <c r="C227" s="623" t="s">
        <v>102</v>
      </c>
      <c r="D227" s="623" t="s">
        <v>102</v>
      </c>
      <c r="E227" s="248"/>
      <c r="F227" s="188"/>
      <c r="G227" s="623" t="s">
        <v>102</v>
      </c>
      <c r="H227" s="244"/>
      <c r="I227" s="244"/>
      <c r="J227" s="244"/>
      <c r="K227" s="244"/>
      <c r="L227" s="327"/>
      <c r="M227" s="245"/>
      <c r="N227" s="245"/>
    </row>
    <row r="228" spans="1:14" x14ac:dyDescent="0.2">
      <c r="A228" s="243"/>
      <c r="B228" s="425"/>
      <c r="C228" s="426"/>
      <c r="D228" s="427"/>
      <c r="E228" s="248"/>
      <c r="F228" s="188"/>
      <c r="G228" s="243"/>
      <c r="H228" s="244"/>
      <c r="I228" s="244"/>
      <c r="J228" s="244"/>
      <c r="K228" s="244"/>
      <c r="M228" s="245"/>
      <c r="N228" s="245"/>
    </row>
    <row r="229" spans="1:14" x14ac:dyDescent="0.2">
      <c r="A229" s="425"/>
      <c r="B229" s="425"/>
      <c r="C229" s="426"/>
      <c r="D229" s="248"/>
      <c r="E229" s="248"/>
      <c r="F229" s="188"/>
      <c r="G229" s="243"/>
      <c r="H229" s="244"/>
      <c r="I229" s="244"/>
      <c r="J229" s="244"/>
      <c r="K229" s="244"/>
      <c r="M229" s="245"/>
      <c r="N229" s="245"/>
    </row>
    <row r="230" spans="1:14" x14ac:dyDescent="0.2">
      <c r="A230" s="425"/>
      <c r="B230" s="425"/>
      <c r="C230" s="426"/>
      <c r="D230" s="427"/>
      <c r="E230" s="248"/>
      <c r="F230" s="188"/>
      <c r="G230" s="243"/>
      <c r="H230" s="244"/>
      <c r="I230" s="244"/>
      <c r="J230" s="244"/>
      <c r="K230" s="244"/>
      <c r="M230" s="245"/>
      <c r="N230" s="245"/>
    </row>
    <row r="231" spans="1:14" x14ac:dyDescent="0.2">
      <c r="A231" s="425"/>
      <c r="B231" s="425"/>
      <c r="C231" s="426"/>
      <c r="D231" s="428"/>
      <c r="E231" s="248"/>
      <c r="F231" s="188"/>
      <c r="G231" s="243"/>
      <c r="H231" s="244"/>
      <c r="I231" s="244"/>
      <c r="J231" s="244"/>
      <c r="K231" s="244"/>
      <c r="M231" s="245"/>
      <c r="N231" s="245"/>
    </row>
    <row r="232" spans="1:14" x14ac:dyDescent="0.2">
      <c r="A232" s="425"/>
      <c r="B232" s="425"/>
      <c r="C232" s="426"/>
      <c r="D232" s="427"/>
      <c r="E232" s="248"/>
      <c r="F232" s="188"/>
      <c r="G232" s="243"/>
      <c r="H232" s="244"/>
      <c r="I232" s="244"/>
      <c r="J232" s="244"/>
      <c r="K232" s="244"/>
      <c r="M232" s="245"/>
      <c r="N232" s="245"/>
    </row>
    <row r="233" spans="1:14" x14ac:dyDescent="0.2">
      <c r="A233" s="425"/>
      <c r="B233" s="425"/>
      <c r="C233" s="426"/>
      <c r="D233" s="248"/>
      <c r="E233" s="248"/>
      <c r="F233" s="188"/>
      <c r="G233" s="243"/>
      <c r="H233" s="244"/>
      <c r="I233" s="244"/>
      <c r="J233" s="244"/>
      <c r="K233" s="244"/>
      <c r="M233" s="245"/>
      <c r="N233" s="245"/>
    </row>
    <row r="234" spans="1:14" x14ac:dyDescent="0.2">
      <c r="A234" s="263"/>
      <c r="B234" s="263"/>
      <c r="C234" s="248"/>
      <c r="D234" s="248"/>
      <c r="E234" s="429"/>
      <c r="F234" s="188"/>
      <c r="G234" s="243"/>
      <c r="H234" s="244"/>
      <c r="I234" s="244"/>
      <c r="J234" s="244"/>
      <c r="K234" s="244"/>
      <c r="M234" s="245"/>
      <c r="N234" s="245"/>
    </row>
    <row r="235" spans="1:14" x14ac:dyDescent="0.2">
      <c r="A235" s="263"/>
      <c r="B235" s="263"/>
      <c r="C235" s="248"/>
      <c r="D235" s="428"/>
      <c r="E235" s="428"/>
      <c r="F235" s="188"/>
      <c r="G235" s="243"/>
      <c r="H235" s="244"/>
      <c r="I235" s="244"/>
      <c r="J235" s="244"/>
      <c r="K235" s="244"/>
      <c r="M235" s="245"/>
      <c r="N235" s="245"/>
    </row>
    <row r="236" spans="1:14" x14ac:dyDescent="0.2">
      <c r="A236" s="263"/>
      <c r="B236" s="263"/>
      <c r="C236" s="248"/>
      <c r="D236" s="247"/>
      <c r="E236" s="428"/>
      <c r="F236" s="188"/>
      <c r="G236" s="243"/>
      <c r="H236" s="244"/>
      <c r="I236" s="244"/>
      <c r="J236" s="244"/>
      <c r="K236" s="244"/>
      <c r="M236" s="245"/>
      <c r="N236" s="245"/>
    </row>
    <row r="237" spans="1:14" x14ac:dyDescent="0.2">
      <c r="A237" s="263"/>
      <c r="B237" s="263"/>
      <c r="C237" s="248"/>
      <c r="D237" s="247"/>
      <c r="E237" s="428"/>
      <c r="F237" s="188"/>
      <c r="G237" s="243"/>
      <c r="H237" s="244"/>
      <c r="I237" s="244"/>
      <c r="J237" s="244"/>
      <c r="K237" s="244"/>
      <c r="M237" s="245"/>
      <c r="N237" s="245"/>
    </row>
    <row r="238" spans="1:14" x14ac:dyDescent="0.2">
      <c r="A238" s="263"/>
      <c r="B238" s="263"/>
      <c r="C238" s="248"/>
      <c r="D238" s="248"/>
      <c r="E238" s="247"/>
      <c r="F238" s="188"/>
      <c r="G238" s="243"/>
      <c r="H238" s="244"/>
      <c r="I238" s="244"/>
      <c r="J238" s="244"/>
      <c r="K238" s="244"/>
      <c r="M238" s="245"/>
      <c r="N238" s="245"/>
    </row>
    <row r="239" spans="1:14" x14ac:dyDescent="0.2">
      <c r="A239" s="263"/>
      <c r="B239" s="263"/>
      <c r="C239" s="248"/>
      <c r="D239" s="248"/>
      <c r="E239" s="428"/>
      <c r="F239" s="188"/>
      <c r="G239" s="243"/>
      <c r="H239" s="244"/>
      <c r="I239" s="244"/>
      <c r="J239" s="244"/>
      <c r="K239" s="244"/>
      <c r="M239" s="245"/>
      <c r="N239" s="245"/>
    </row>
    <row r="240" spans="1:14" x14ac:dyDescent="0.2">
      <c r="A240" s="263"/>
      <c r="B240" s="263"/>
      <c r="C240" s="248"/>
      <c r="D240" s="247"/>
      <c r="E240" s="247"/>
      <c r="F240" s="188"/>
      <c r="G240" s="243"/>
      <c r="H240" s="244"/>
      <c r="I240" s="244"/>
      <c r="J240" s="244"/>
      <c r="K240" s="244"/>
      <c r="M240" s="245"/>
      <c r="N240" s="245"/>
    </row>
    <row r="241" spans="1:14" x14ac:dyDescent="0.2">
      <c r="A241" s="263"/>
      <c r="B241" s="263"/>
      <c r="C241" s="248"/>
      <c r="D241" s="428"/>
      <c r="E241" s="247"/>
      <c r="F241" s="188"/>
      <c r="G241" s="243"/>
      <c r="H241" s="244"/>
      <c r="I241" s="244"/>
      <c r="J241" s="244"/>
      <c r="K241" s="244"/>
      <c r="M241" s="245"/>
      <c r="N241" s="245"/>
    </row>
    <row r="242" spans="1:14" x14ac:dyDescent="0.2">
      <c r="A242" s="263"/>
      <c r="B242" s="263"/>
      <c r="C242" s="248"/>
      <c r="D242" s="427"/>
      <c r="E242" s="247"/>
      <c r="F242" s="188"/>
      <c r="G242" s="243"/>
      <c r="H242" s="244"/>
      <c r="I242" s="244"/>
      <c r="J242" s="244"/>
      <c r="K242" s="244"/>
      <c r="M242" s="245"/>
      <c r="N242" s="245"/>
    </row>
    <row r="243" spans="1:14" x14ac:dyDescent="0.2">
      <c r="A243" s="247"/>
      <c r="B243" s="247"/>
      <c r="C243" s="248"/>
      <c r="D243" s="427"/>
      <c r="E243" s="429"/>
      <c r="F243" s="188"/>
      <c r="G243" s="243"/>
      <c r="H243" s="244"/>
      <c r="I243" s="244"/>
      <c r="J243" s="244"/>
      <c r="K243" s="244"/>
      <c r="M243" s="245"/>
      <c r="N243" s="245"/>
    </row>
    <row r="244" spans="1:14" x14ac:dyDescent="0.2">
      <c r="A244" s="247"/>
      <c r="B244" s="247"/>
      <c r="C244" s="248"/>
      <c r="D244" s="247"/>
      <c r="E244" s="247"/>
      <c r="F244" s="249"/>
      <c r="G244" s="243"/>
      <c r="H244" s="328"/>
      <c r="I244" s="244"/>
      <c r="J244" s="244"/>
      <c r="K244" s="244"/>
    </row>
    <row r="245" spans="1:14" x14ac:dyDescent="0.2">
      <c r="A245" s="247"/>
      <c r="B245" s="247"/>
      <c r="C245" s="248"/>
      <c r="D245" s="247"/>
      <c r="E245" s="247"/>
      <c r="F245" s="249"/>
      <c r="G245" s="243"/>
      <c r="H245" s="244"/>
      <c r="I245" s="244"/>
      <c r="J245" s="244"/>
      <c r="K245" s="244"/>
    </row>
    <row r="246" spans="1:14" x14ac:dyDescent="0.2">
      <c r="A246" s="247"/>
      <c r="B246" s="247"/>
      <c r="C246" s="248"/>
      <c r="D246" s="247"/>
      <c r="E246" s="247"/>
      <c r="F246" s="249"/>
      <c r="G246" s="243"/>
      <c r="H246" s="244"/>
      <c r="I246" s="244"/>
      <c r="J246" s="244"/>
      <c r="K246" s="244"/>
    </row>
    <row r="247" spans="1:14" x14ac:dyDescent="0.2">
      <c r="A247" s="247"/>
      <c r="B247" s="247"/>
      <c r="C247" s="248"/>
      <c r="D247" s="247"/>
      <c r="E247" s="247"/>
      <c r="F247" s="249"/>
      <c r="G247" s="243"/>
    </row>
    <row r="248" spans="1:14" x14ac:dyDescent="0.2">
      <c r="A248" s="247"/>
      <c r="B248" s="247"/>
      <c r="C248" s="248"/>
      <c r="D248" s="247"/>
      <c r="E248" s="249"/>
      <c r="F248" s="249"/>
      <c r="G248" s="243"/>
    </row>
    <row r="249" spans="1:14" x14ac:dyDescent="0.2">
      <c r="A249" s="247"/>
      <c r="B249" s="247"/>
      <c r="C249" s="248"/>
      <c r="D249" s="247"/>
      <c r="E249" s="247"/>
      <c r="F249" s="247"/>
    </row>
    <row r="250" spans="1:14" x14ac:dyDescent="0.2">
      <c r="A250" s="247"/>
      <c r="B250" s="247"/>
      <c r="C250" s="248"/>
      <c r="D250" s="247"/>
      <c r="E250" s="247"/>
      <c r="F250" s="247"/>
    </row>
    <row r="251" spans="1:14" x14ac:dyDescent="0.2">
      <c r="A251" s="247"/>
      <c r="B251" s="247"/>
      <c r="C251" s="248"/>
      <c r="D251" s="247"/>
      <c r="E251" s="247"/>
      <c r="F251" s="247"/>
    </row>
    <row r="252" spans="1:14" x14ac:dyDescent="0.2">
      <c r="A252" s="247"/>
      <c r="B252" s="247"/>
      <c r="C252" s="248"/>
      <c r="D252" s="247"/>
      <c r="E252" s="247"/>
      <c r="F252" s="247"/>
    </row>
    <row r="253" spans="1:14" x14ac:dyDescent="0.2">
      <c r="A253" s="247"/>
      <c r="B253" s="247"/>
      <c r="C253" s="248"/>
      <c r="D253" s="247"/>
      <c r="E253" s="247"/>
      <c r="F253" s="247"/>
    </row>
  </sheetData>
  <sheetProtection password="DBAF" sheet="1"/>
  <mergeCells count="8">
    <mergeCell ref="A167:D167"/>
    <mergeCell ref="A197:D197"/>
    <mergeCell ref="A4:D4"/>
    <mergeCell ref="A31:D31"/>
    <mergeCell ref="A62:D62"/>
    <mergeCell ref="A88:D88"/>
    <mergeCell ref="A115:D115"/>
    <mergeCell ref="A140:D140"/>
  </mergeCells>
  <phoneticPr fontId="50" type="noConversion"/>
  <pageMargins left="0.78740157480314965" right="0.78740157480314965" top="0.98425196850393704" bottom="0.98425196850393704" header="0.51181102362204722" footer="0.51181102362204722"/>
  <pageSetup paperSize="9" scale="67" orientation="portrait" r:id="rId1"/>
  <headerFooter alignWithMargins="0"/>
  <rowBreaks count="3" manualBreakCount="3">
    <brk id="85" max="3" man="1"/>
    <brk id="165" max="3" man="1"/>
    <brk id="226" max="3" man="1"/>
  </rowBreaks>
  <colBreaks count="1" manualBreakCount="1">
    <brk id="4"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1"/>
  <dimension ref="B1:Q20"/>
  <sheetViews>
    <sheetView workbookViewId="0">
      <selection activeCell="M4" sqref="M4"/>
    </sheetView>
  </sheetViews>
  <sheetFormatPr defaultRowHeight="12.75" x14ac:dyDescent="0.2"/>
  <cols>
    <col min="2" max="2" width="11.5703125" customWidth="1"/>
  </cols>
  <sheetData>
    <row r="1" spans="2:17" x14ac:dyDescent="0.2">
      <c r="B1" s="238"/>
      <c r="C1" s="238">
        <v>31</v>
      </c>
      <c r="D1" s="238">
        <v>28</v>
      </c>
      <c r="E1" s="238">
        <v>31</v>
      </c>
      <c r="F1" s="238">
        <v>30</v>
      </c>
      <c r="G1" s="238">
        <v>31</v>
      </c>
      <c r="H1" s="238">
        <v>30</v>
      </c>
      <c r="I1" s="238">
        <v>31</v>
      </c>
      <c r="J1" s="238">
        <v>31</v>
      </c>
      <c r="K1" s="238">
        <v>30</v>
      </c>
      <c r="L1" s="238">
        <v>31</v>
      </c>
      <c r="M1" s="238">
        <v>30</v>
      </c>
      <c r="N1" s="238">
        <v>31</v>
      </c>
      <c r="O1" s="238">
        <f>SUM(C1:N1)</f>
        <v>365</v>
      </c>
    </row>
    <row r="2" spans="2:17" x14ac:dyDescent="0.2">
      <c r="B2" s="238"/>
      <c r="C2" s="238" t="s">
        <v>357</v>
      </c>
      <c r="D2" s="238" t="s">
        <v>358</v>
      </c>
      <c r="E2" s="238" t="s">
        <v>359</v>
      </c>
      <c r="F2" s="238" t="s">
        <v>360</v>
      </c>
      <c r="G2" s="238" t="s">
        <v>361</v>
      </c>
      <c r="H2" s="238" t="s">
        <v>362</v>
      </c>
      <c r="I2" s="238" t="s">
        <v>363</v>
      </c>
      <c r="J2" s="238" t="s">
        <v>364</v>
      </c>
      <c r="K2" s="238" t="s">
        <v>365</v>
      </c>
      <c r="L2" s="238" t="s">
        <v>366</v>
      </c>
      <c r="M2" s="238" t="s">
        <v>367</v>
      </c>
      <c r="N2" s="238" t="s">
        <v>368</v>
      </c>
      <c r="O2" s="238"/>
    </row>
    <row r="3" spans="2:17" x14ac:dyDescent="0.2">
      <c r="B3" s="238" t="s">
        <v>371</v>
      </c>
      <c r="C3" s="238">
        <v>10</v>
      </c>
      <c r="D3" s="238">
        <v>10</v>
      </c>
      <c r="E3" s="238">
        <v>10</v>
      </c>
      <c r="F3" s="238">
        <v>10</v>
      </c>
      <c r="G3" s="238">
        <v>10</v>
      </c>
      <c r="H3" s="238">
        <v>10</v>
      </c>
      <c r="I3" s="238">
        <v>10</v>
      </c>
      <c r="J3" s="238">
        <v>10</v>
      </c>
      <c r="K3" s="238">
        <v>10</v>
      </c>
      <c r="L3" s="238">
        <v>0</v>
      </c>
      <c r="M3" s="238">
        <v>0</v>
      </c>
      <c r="N3" s="238">
        <v>0</v>
      </c>
      <c r="O3" s="335">
        <f>AVERAGE(C3:N3)</f>
        <v>7.5</v>
      </c>
    </row>
    <row r="4" spans="2:17" x14ac:dyDescent="0.2">
      <c r="B4" s="238" t="s">
        <v>42</v>
      </c>
      <c r="C4" s="238">
        <v>0</v>
      </c>
      <c r="D4" s="238">
        <v>0</v>
      </c>
      <c r="E4" s="238">
        <v>0</v>
      </c>
      <c r="F4" s="238">
        <v>0</v>
      </c>
      <c r="G4" s="238">
        <v>0</v>
      </c>
      <c r="H4" s="238">
        <v>0</v>
      </c>
      <c r="I4" s="238">
        <v>0</v>
      </c>
      <c r="J4" s="238">
        <v>0</v>
      </c>
      <c r="K4" s="238">
        <v>0</v>
      </c>
      <c r="L4" s="238">
        <v>10</v>
      </c>
      <c r="M4" s="238">
        <v>10</v>
      </c>
      <c r="N4" s="238">
        <v>10</v>
      </c>
      <c r="O4" s="335">
        <f>AVERAGE(C4:N4)</f>
        <v>2.5</v>
      </c>
      <c r="P4" s="339"/>
    </row>
    <row r="5" spans="2:17" x14ac:dyDescent="0.2">
      <c r="B5" s="238" t="s">
        <v>369</v>
      </c>
      <c r="C5" s="238">
        <v>15</v>
      </c>
      <c r="D5" s="238">
        <v>15</v>
      </c>
      <c r="E5" s="238">
        <v>15</v>
      </c>
      <c r="F5" s="238">
        <v>15</v>
      </c>
      <c r="G5" s="238">
        <v>15</v>
      </c>
      <c r="H5" s="238">
        <v>15</v>
      </c>
      <c r="I5" s="238">
        <v>15</v>
      </c>
      <c r="J5" s="238">
        <v>15</v>
      </c>
      <c r="K5" s="238">
        <v>15</v>
      </c>
      <c r="L5" s="238">
        <v>15</v>
      </c>
      <c r="M5" s="238"/>
      <c r="N5" s="238"/>
      <c r="O5" s="331">
        <f>SUM(C5:N5)</f>
        <v>150</v>
      </c>
    </row>
    <row r="6" spans="2:17" x14ac:dyDescent="0.2">
      <c r="B6" s="238" t="s">
        <v>370</v>
      </c>
      <c r="C6" s="238">
        <f>C5*C3*C1</f>
        <v>4650</v>
      </c>
      <c r="D6" s="238">
        <f t="shared" ref="D6:N6" si="0">D5*D3*D1</f>
        <v>4200</v>
      </c>
      <c r="E6" s="238">
        <f t="shared" si="0"/>
        <v>4650</v>
      </c>
      <c r="F6" s="238">
        <f t="shared" si="0"/>
        <v>4500</v>
      </c>
      <c r="G6" s="238">
        <f t="shared" si="0"/>
        <v>4650</v>
      </c>
      <c r="H6" s="238">
        <f t="shared" si="0"/>
        <v>4500</v>
      </c>
      <c r="I6" s="238">
        <f t="shared" si="0"/>
        <v>4650</v>
      </c>
      <c r="J6" s="238">
        <f t="shared" si="0"/>
        <v>4650</v>
      </c>
      <c r="K6" s="238">
        <f t="shared" si="0"/>
        <v>4500</v>
      </c>
      <c r="L6" s="238">
        <f t="shared" si="0"/>
        <v>0</v>
      </c>
      <c r="M6" s="238">
        <f t="shared" si="0"/>
        <v>0</v>
      </c>
      <c r="N6" s="238">
        <f t="shared" si="0"/>
        <v>0</v>
      </c>
      <c r="O6" s="331">
        <f>SUM(C6:N6)</f>
        <v>40950</v>
      </c>
    </row>
    <row r="7" spans="2:17" x14ac:dyDescent="0.2">
      <c r="B7" s="238"/>
      <c r="C7" s="238"/>
      <c r="D7" s="238"/>
      <c r="E7" s="238"/>
      <c r="F7" s="238"/>
      <c r="G7" s="238"/>
      <c r="H7" s="238"/>
      <c r="I7" s="238"/>
      <c r="J7" s="238"/>
      <c r="K7" s="238"/>
      <c r="L7" s="238"/>
      <c r="M7" s="238"/>
      <c r="N7" s="238"/>
      <c r="O7" s="337">
        <f>O6/O3/O1</f>
        <v>14.95890410958904</v>
      </c>
    </row>
    <row r="8" spans="2:17" x14ac:dyDescent="0.2">
      <c r="O8" s="333"/>
    </row>
    <row r="9" spans="2:17" x14ac:dyDescent="0.2">
      <c r="B9" s="238"/>
      <c r="C9" s="238">
        <v>31</v>
      </c>
      <c r="D9" s="238">
        <v>28</v>
      </c>
      <c r="E9" s="238">
        <v>31</v>
      </c>
      <c r="F9" s="238">
        <v>30</v>
      </c>
      <c r="G9" s="238">
        <v>31</v>
      </c>
      <c r="H9" s="238">
        <v>30</v>
      </c>
      <c r="I9" s="238">
        <v>31</v>
      </c>
      <c r="J9" s="238">
        <v>31</v>
      </c>
      <c r="K9" s="238">
        <v>30</v>
      </c>
      <c r="L9" s="238">
        <v>31</v>
      </c>
      <c r="M9" s="238">
        <v>30</v>
      </c>
      <c r="N9" s="238">
        <v>31</v>
      </c>
      <c r="O9" s="238">
        <f>SUM(C9:N9)</f>
        <v>365</v>
      </c>
    </row>
    <row r="10" spans="2:17" x14ac:dyDescent="0.2">
      <c r="B10" s="238"/>
      <c r="C10" s="238" t="s">
        <v>357</v>
      </c>
      <c r="D10" s="238" t="s">
        <v>358</v>
      </c>
      <c r="E10" s="238" t="s">
        <v>359</v>
      </c>
      <c r="F10" s="238" t="s">
        <v>360</v>
      </c>
      <c r="G10" s="238" t="s">
        <v>361</v>
      </c>
      <c r="H10" s="238" t="s">
        <v>362</v>
      </c>
      <c r="I10" s="238" t="s">
        <v>363</v>
      </c>
      <c r="J10" s="238" t="s">
        <v>364</v>
      </c>
      <c r="K10" s="238" t="s">
        <v>365</v>
      </c>
      <c r="L10" s="238" t="s">
        <v>366</v>
      </c>
      <c r="M10" s="238" t="s">
        <v>367</v>
      </c>
      <c r="N10" s="238" t="s">
        <v>368</v>
      </c>
      <c r="O10" s="238"/>
    </row>
    <row r="11" spans="2:17" x14ac:dyDescent="0.2">
      <c r="B11" s="238" t="s">
        <v>371</v>
      </c>
      <c r="C11" s="238">
        <v>7</v>
      </c>
      <c r="D11" s="238">
        <v>7</v>
      </c>
      <c r="E11" s="238">
        <v>7</v>
      </c>
      <c r="F11" s="238">
        <v>7</v>
      </c>
      <c r="G11" s="238">
        <v>7</v>
      </c>
      <c r="H11" s="238">
        <v>7</v>
      </c>
      <c r="I11" s="238">
        <v>7</v>
      </c>
      <c r="J11" s="238">
        <v>7</v>
      </c>
      <c r="K11" s="238">
        <v>7</v>
      </c>
      <c r="L11" s="238">
        <v>7</v>
      </c>
      <c r="M11" s="238">
        <v>7</v>
      </c>
      <c r="N11" s="238">
        <v>7</v>
      </c>
      <c r="O11" s="332">
        <f>AVERAGE(C11:N11)</f>
        <v>7</v>
      </c>
    </row>
    <row r="12" spans="2:17" x14ac:dyDescent="0.2">
      <c r="B12" s="238"/>
      <c r="C12" s="238">
        <v>3</v>
      </c>
      <c r="D12" s="238">
        <v>3</v>
      </c>
      <c r="E12" s="238">
        <v>3</v>
      </c>
      <c r="F12" s="238">
        <v>3</v>
      </c>
      <c r="G12" s="238">
        <v>3</v>
      </c>
      <c r="H12" s="238">
        <v>3</v>
      </c>
      <c r="I12" s="238">
        <v>3</v>
      </c>
      <c r="J12" s="238">
        <v>3</v>
      </c>
      <c r="K12" s="238">
        <v>3</v>
      </c>
      <c r="L12" s="238">
        <v>3</v>
      </c>
      <c r="M12" s="238">
        <v>3</v>
      </c>
      <c r="N12" s="238">
        <v>3</v>
      </c>
      <c r="O12" s="332">
        <f>AVERAGE(C12:N12)</f>
        <v>3</v>
      </c>
    </row>
    <row r="13" spans="2:17" x14ac:dyDescent="0.2">
      <c r="B13" s="238" t="s">
        <v>369</v>
      </c>
      <c r="C13" s="238">
        <v>15</v>
      </c>
      <c r="D13" s="238">
        <v>15</v>
      </c>
      <c r="E13" s="238">
        <v>15</v>
      </c>
      <c r="F13" s="238">
        <v>15</v>
      </c>
      <c r="G13" s="238">
        <v>15</v>
      </c>
      <c r="H13" s="238">
        <v>15</v>
      </c>
      <c r="I13" s="238">
        <v>15</v>
      </c>
      <c r="J13" s="238">
        <v>15</v>
      </c>
      <c r="K13" s="238">
        <v>15</v>
      </c>
      <c r="L13" s="238">
        <v>15</v>
      </c>
      <c r="M13" s="238">
        <v>15</v>
      </c>
      <c r="N13" s="238">
        <v>15</v>
      </c>
      <c r="O13" s="331">
        <f>SUM(C13:N13)</f>
        <v>180</v>
      </c>
    </row>
    <row r="14" spans="2:17" x14ac:dyDescent="0.2">
      <c r="B14" s="238" t="s">
        <v>370</v>
      </c>
      <c r="C14" s="238">
        <f t="shared" ref="C14:N14" si="1">C13*C11*C9</f>
        <v>3255</v>
      </c>
      <c r="D14" s="238">
        <f t="shared" si="1"/>
        <v>2940</v>
      </c>
      <c r="E14" s="238">
        <f t="shared" si="1"/>
        <v>3255</v>
      </c>
      <c r="F14" s="238">
        <f t="shared" si="1"/>
        <v>3150</v>
      </c>
      <c r="G14" s="238">
        <f t="shared" si="1"/>
        <v>3255</v>
      </c>
      <c r="H14" s="238">
        <f t="shared" si="1"/>
        <v>3150</v>
      </c>
      <c r="I14" s="238">
        <f t="shared" si="1"/>
        <v>3255</v>
      </c>
      <c r="J14" s="238">
        <f t="shared" si="1"/>
        <v>3255</v>
      </c>
      <c r="K14" s="238">
        <f t="shared" si="1"/>
        <v>3150</v>
      </c>
      <c r="L14" s="238">
        <f t="shared" si="1"/>
        <v>3255</v>
      </c>
      <c r="M14" s="238">
        <f t="shared" si="1"/>
        <v>3150</v>
      </c>
      <c r="N14" s="238">
        <f t="shared" si="1"/>
        <v>3255</v>
      </c>
      <c r="O14" s="331">
        <f>SUM(C14:N14)</f>
        <v>38325</v>
      </c>
      <c r="Q14" s="336"/>
    </row>
    <row r="15" spans="2:17" x14ac:dyDescent="0.2">
      <c r="B15" s="238"/>
      <c r="C15" s="238"/>
      <c r="D15" s="238"/>
      <c r="E15" s="238"/>
      <c r="F15" s="238"/>
      <c r="G15" s="238"/>
      <c r="H15" s="238"/>
      <c r="I15" s="238"/>
      <c r="J15" s="238"/>
      <c r="K15" s="238"/>
      <c r="L15" s="238"/>
      <c r="M15" s="238"/>
      <c r="N15" s="238"/>
      <c r="O15" s="334">
        <f>O14/O11/O9</f>
        <v>15</v>
      </c>
    </row>
    <row r="20" spans="15:15" x14ac:dyDescent="0.2">
      <c r="O20" s="338"/>
    </row>
  </sheetData>
  <phoneticPr fontId="50" type="noConversion"/>
  <pageMargins left="0.78740157499999996" right="0.78740157499999996" top="0.984251969" bottom="0.984251969" header="0.49212598499999999" footer="0.49212598499999999"/>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2"/>
  <dimension ref="A1:E7"/>
  <sheetViews>
    <sheetView workbookViewId="0">
      <selection activeCell="I18" sqref="I18"/>
    </sheetView>
  </sheetViews>
  <sheetFormatPr defaultColWidth="8.85546875" defaultRowHeight="12.75" x14ac:dyDescent="0.2"/>
  <cols>
    <col min="1" max="1" width="20.140625" style="24" customWidth="1"/>
    <col min="2" max="2" width="14.28515625" style="24" customWidth="1"/>
    <col min="3" max="3" width="18.28515625" style="24" customWidth="1"/>
    <col min="4" max="4" width="17.28515625" style="24" customWidth="1"/>
    <col min="5" max="16384" width="8.85546875" style="24"/>
  </cols>
  <sheetData>
    <row r="1" spans="1:5" ht="13.5" thickBot="1" x14ac:dyDescent="0.25"/>
    <row r="2" spans="1:5" s="1374" customFormat="1" ht="63.75" x14ac:dyDescent="0.2">
      <c r="A2" s="3411"/>
      <c r="B2" s="1371" t="s">
        <v>673</v>
      </c>
      <c r="C2" s="1371" t="str">
        <f>'E. TOTAL'!BV2</f>
        <v>resultado simulação: margem Liquida leite por hectare média</v>
      </c>
      <c r="D2" s="1372" t="str">
        <f>'E. TOTAL'!BW2</f>
        <v>simulação : queda da margem líquida</v>
      </c>
      <c r="E2" s="1373"/>
    </row>
    <row r="3" spans="1:5" x14ac:dyDescent="0.2">
      <c r="A3" s="3412"/>
      <c r="B3" s="1375" t="str">
        <f>'E. TOTAL'!BU3</f>
        <v>R$</v>
      </c>
      <c r="C3" s="1375" t="s">
        <v>87</v>
      </c>
      <c r="D3" s="1376" t="s">
        <v>88</v>
      </c>
      <c r="E3" s="1377"/>
    </row>
    <row r="4" spans="1:5" x14ac:dyDescent="0.2">
      <c r="A4" s="1378" t="s">
        <v>670</v>
      </c>
      <c r="B4" s="1379" t="str">
        <f>PRODUÇÃO!D26</f>
        <v/>
      </c>
      <c r="C4" s="1375" t="e">
        <f ca="1">'E. TOTAL'!AK4</f>
        <v>#DIV/0!</v>
      </c>
      <c r="D4" s="1376"/>
      <c r="E4" s="1377"/>
    </row>
    <row r="5" spans="1:5" ht="13.5" thickBot="1" x14ac:dyDescent="0.25">
      <c r="A5" s="1380" t="s">
        <v>671</v>
      </c>
      <c r="B5" s="1383"/>
      <c r="C5" s="1381" t="e">
        <f ca="1">'E. TOTAL'!BV4</f>
        <v>#DIV/0!</v>
      </c>
      <c r="D5" s="1382" t="e">
        <f ca="1">'E. TOTAL'!BW4</f>
        <v>#DIV/0!</v>
      </c>
      <c r="E5" s="1377"/>
    </row>
    <row r="6" spans="1:5" x14ac:dyDescent="0.2">
      <c r="B6" s="1377"/>
      <c r="C6" s="1377"/>
      <c r="D6" s="1377"/>
      <c r="E6" s="1377"/>
    </row>
    <row r="7" spans="1:5" x14ac:dyDescent="0.2">
      <c r="B7" s="1377"/>
      <c r="C7" s="1377"/>
      <c r="D7" s="1377"/>
      <c r="E7" s="1377"/>
    </row>
  </sheetData>
  <sheetProtection password="85A7" sheet="1" objects="1" scenarios="1"/>
  <mergeCells count="1">
    <mergeCell ref="A2:A3"/>
  </mergeCells>
  <phoneticPr fontId="93" type="noConversion"/>
  <pageMargins left="0.78740157499999996" right="0.78740157499999996" top="0.984251969" bottom="0.984251969" header="0.49212598499999999" footer="0.49212598499999999"/>
  <headerFooter alignWithMargins="0"/>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3"/>
  <dimension ref="A1:I1"/>
  <sheetViews>
    <sheetView workbookViewId="0">
      <selection sqref="A1:I1"/>
    </sheetView>
  </sheetViews>
  <sheetFormatPr defaultRowHeight="12.75" x14ac:dyDescent="0.2"/>
  <sheetData>
    <row r="1" spans="1:9" ht="63.75" x14ac:dyDescent="0.2">
      <c r="A1" s="1764" t="s">
        <v>793</v>
      </c>
      <c r="B1" s="1764" t="s">
        <v>794</v>
      </c>
      <c r="C1" s="1764" t="s">
        <v>795</v>
      </c>
      <c r="D1" s="1764" t="s">
        <v>796</v>
      </c>
      <c r="E1" s="1764" t="s">
        <v>797</v>
      </c>
      <c r="F1" s="1765" t="s">
        <v>798</v>
      </c>
      <c r="G1" s="1765" t="s">
        <v>799</v>
      </c>
      <c r="H1" s="1765" t="s">
        <v>800</v>
      </c>
      <c r="I1" s="1765" t="s">
        <v>801</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44</vt:i4>
      </vt:variant>
      <vt:variant>
        <vt:lpstr>Intervalos nomeados</vt:lpstr>
      </vt:variant>
      <vt:variant>
        <vt:i4>29</vt:i4>
      </vt:variant>
    </vt:vector>
  </HeadingPairs>
  <TitlesOfParts>
    <vt:vector size="73" baseType="lpstr">
      <vt:lpstr>correções atualiz</vt:lpstr>
      <vt:lpstr>Inicio NOVA PSP</vt:lpstr>
      <vt:lpstr>CADASTRO</vt:lpstr>
      <vt:lpstr>SOLO</vt:lpstr>
      <vt:lpstr>REBANHO</vt:lpstr>
      <vt:lpstr>ALIMENTAÇÃO</vt:lpstr>
      <vt:lpstr>PRODUÇÃO</vt:lpstr>
      <vt:lpstr>M.oBRA</vt:lpstr>
      <vt:lpstr>DESPESAS (Agr.)</vt:lpstr>
      <vt:lpstr>DESPESAS (Gado)</vt:lpstr>
      <vt:lpstr>INVESTIMENTOS</vt:lpstr>
      <vt:lpstr>OUTROS CUSTOS</vt:lpstr>
      <vt:lpstr>RESULTADOS</vt:lpstr>
      <vt:lpstr>RESUMO</vt:lpstr>
      <vt:lpstr>Vinicius</vt:lpstr>
      <vt:lpstr>F. resultad econ. glob. detalh</vt:lpstr>
      <vt:lpstr>auditorias 1</vt:lpstr>
      <vt:lpstr>A. DESPESAS (Outras)</vt:lpstr>
      <vt:lpstr>B. resultados tecnicos leite</vt:lpstr>
      <vt:lpstr>C. MÁQ.</vt:lpstr>
      <vt:lpstr>D. INSTAL.</vt:lpstr>
      <vt:lpstr>linha</vt:lpstr>
      <vt:lpstr>E. TOTAL</vt:lpstr>
      <vt:lpstr>G. RESULT. TEC.  AREA LEITE</vt:lpstr>
      <vt:lpstr>H. proces. caseiro alimentos</vt:lpstr>
      <vt:lpstr>resumo gastos CULTIVOS</vt:lpstr>
      <vt:lpstr>auditorias</vt:lpstr>
      <vt:lpstr>I. RESULTADO ECON. GLOBAL </vt:lpstr>
      <vt:lpstr>J. RESULTADO ECON. GERAL LEITE </vt:lpstr>
      <vt:lpstr>K. RESULTADOS ECON. LEITE</vt:lpstr>
      <vt:lpstr>RESULTADOS ECON. LEITE DETALHE</vt:lpstr>
      <vt:lpstr> RESULT. DETALHE CUSTO LEITE</vt:lpstr>
      <vt:lpstr>Plan3</vt:lpstr>
      <vt:lpstr>RESULT. OUTROS.</vt:lpstr>
      <vt:lpstr>Plan1</vt:lpstr>
      <vt:lpstr>RESUMO RESULTADO GERAL</vt:lpstr>
      <vt:lpstr>CALCULO PASTAGENS</vt:lpstr>
      <vt:lpstr>resultado rep Social</vt:lpstr>
      <vt:lpstr>RESULTADOS OUTRAS ATIV</vt:lpstr>
      <vt:lpstr>resultados RESUMO CUSTOS</vt:lpstr>
      <vt:lpstr>res. custo cultivo e criação  </vt:lpstr>
      <vt:lpstr>Plan2</vt:lpstr>
      <vt:lpstr>L. simulador preço</vt:lpstr>
      <vt:lpstr>Sugestão de indicadores</vt:lpstr>
      <vt:lpstr>' RESULT. DETALHE CUSTO LEITE'!Area_de_impressao</vt:lpstr>
      <vt:lpstr>'A. DESPESAS (Outras)'!Area_de_impressao</vt:lpstr>
      <vt:lpstr>ALIMENTAÇÃO!Area_de_impressao</vt:lpstr>
      <vt:lpstr>auditorias!Area_de_impressao</vt:lpstr>
      <vt:lpstr>'auditorias 1'!Area_de_impressao</vt:lpstr>
      <vt:lpstr>'B. resultados tecnicos leite'!Area_de_impressao</vt:lpstr>
      <vt:lpstr>'C. MÁQ.'!Area_de_impressao</vt:lpstr>
      <vt:lpstr>'D. INSTAL.'!Area_de_impressao</vt:lpstr>
      <vt:lpstr>'DESPESAS (Agr.)'!Area_de_impressao</vt:lpstr>
      <vt:lpstr>'DESPESAS (Gado)'!Area_de_impressao</vt:lpstr>
      <vt:lpstr>'E. TOTAL'!Area_de_impressao</vt:lpstr>
      <vt:lpstr>'F. resultad econ. glob. detalh'!Area_de_impressao</vt:lpstr>
      <vt:lpstr>'G. RESULT. TEC.  AREA LEITE'!Area_de_impressao</vt:lpstr>
      <vt:lpstr>'H. proces. caseiro alimentos'!Area_de_impressao</vt:lpstr>
      <vt:lpstr>'I. RESULTADO ECON. GLOBAL '!Area_de_impressao</vt:lpstr>
      <vt:lpstr>'Inicio NOVA PSP'!Area_de_impressao</vt:lpstr>
      <vt:lpstr>INVESTIMENTOS!Area_de_impressao</vt:lpstr>
      <vt:lpstr>'J. RESULTADO ECON. GERAL LEITE '!Area_de_impressao</vt:lpstr>
      <vt:lpstr>'K. RESULTADOS ECON. LEITE'!Area_de_impressao</vt:lpstr>
      <vt:lpstr>M.oBRA!Area_de_impressao</vt:lpstr>
      <vt:lpstr>'OUTROS CUSTOS'!Area_de_impressao</vt:lpstr>
      <vt:lpstr>PRODUÇÃO!Area_de_impressao</vt:lpstr>
      <vt:lpstr>REBANHO!Area_de_impressao</vt:lpstr>
      <vt:lpstr>'res. custo cultivo e criação  '!Area_de_impressao</vt:lpstr>
      <vt:lpstr>'RESULT. OUTROS.'!Area_de_impressao</vt:lpstr>
      <vt:lpstr>'RESULTADOS ECON. LEITE DETALHE'!Area_de_impressao</vt:lpstr>
      <vt:lpstr>'resultados RESUMO CUSTOS'!Area_de_impressao</vt:lpstr>
      <vt:lpstr>'RESUMO RESULTADO GERAL'!Area_de_impressao</vt:lpstr>
      <vt:lpstr>SOLO!Area_de_impressao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urubatan</dc:creator>
  <cp:lastModifiedBy>vinicius.lampert</cp:lastModifiedBy>
  <cp:lastPrinted>2021-03-06T04:51:45Z</cp:lastPrinted>
  <dcterms:created xsi:type="dcterms:W3CDTF">2010-06-08T12:34:51Z</dcterms:created>
  <dcterms:modified xsi:type="dcterms:W3CDTF">2021-03-06T11:25:43Z</dcterms:modified>
</cp:coreProperties>
</file>